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5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6.xml" ContentType="application/vnd.openxmlformats-officedocument.drawingml.chart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Файлы документов\Размеры\"/>
    </mc:Choice>
  </mc:AlternateContent>
  <bookViews>
    <workbookView xWindow="75" yWindow="105" windowWidth="15600" windowHeight="9240" tabRatio="929"/>
  </bookViews>
  <sheets>
    <sheet name="Окружение" sheetId="2" r:id="rId1"/>
    <sheet name="Пр-во и Продажи" sheetId="1" r:id="rId2"/>
    <sheet name="Персонал" sheetId="4" r:id="rId3"/>
    <sheet name="Затраты" sheetId="5" r:id="rId4"/>
    <sheet name="Оборот. К." sheetId="8" r:id="rId5"/>
    <sheet name="НА и ОС" sheetId="6" r:id="rId6"/>
    <sheet name="Финан-е" sheetId="9" r:id="rId7"/>
    <sheet name="Анализ рисков" sheetId="29" r:id="rId8"/>
    <sheet name="Форма 1" sheetId="19" r:id="rId9"/>
    <sheet name="Форма 2" sheetId="7" r:id="rId10"/>
    <sheet name="CF" sheetId="18" r:id="rId11"/>
    <sheet name="Анализ проекта" sheetId="10" r:id="rId12"/>
    <sheet name="Прогнозные отчеты" sheetId="21" r:id="rId13"/>
    <sheet name="Общий анализ" sheetId="26" r:id="rId14"/>
    <sheet name="Горизонт. анализ" sheetId="23" r:id="rId15"/>
    <sheet name="Вертикальный анализ" sheetId="25" r:id="rId16"/>
    <sheet name="Анализ рентабельности" sheetId="32" r:id="rId17"/>
    <sheet name="Анализ ликвидности" sheetId="27" r:id="rId18"/>
    <sheet name="Анализ платежеспособности" sheetId="31" r:id="rId19"/>
    <sheet name="Анализ оборачиваемости" sheetId="28" r:id="rId20"/>
    <sheet name="Анализ долг. и налог. нагрузки" sheetId="34" r:id="rId21"/>
    <sheet name="Лист1" sheetId="35" r:id="rId22"/>
  </sheets>
  <calcPr calcId="152511"/>
</workbook>
</file>

<file path=xl/calcChain.xml><?xml version="1.0" encoding="utf-8"?>
<calcChain xmlns="http://schemas.openxmlformats.org/spreadsheetml/2006/main">
  <c r="A38" i="35" l="1"/>
  <c r="B38" i="35"/>
  <c r="C38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S38" i="35"/>
  <c r="T38" i="35"/>
  <c r="A39" i="35"/>
  <c r="B39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B37" i="35"/>
  <c r="C37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R37" i="35"/>
  <c r="S37" i="35"/>
  <c r="T37" i="35"/>
  <c r="A37" i="35"/>
  <c r="J28" i="35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E18" i="9"/>
  <c r="E19" i="9"/>
  <c r="E7" i="2"/>
  <c r="I7" i="2"/>
  <c r="J7" i="2" s="1"/>
  <c r="M7" i="2"/>
  <c r="N7" i="2" s="1"/>
  <c r="Q7" i="2"/>
  <c r="R7" i="2" s="1"/>
  <c r="U7" i="2"/>
  <c r="D8" i="2"/>
  <c r="H8" i="2"/>
  <c r="I10" i="2" s="1"/>
  <c r="I8" i="2"/>
  <c r="J10" i="2" s="1"/>
  <c r="L8" i="2"/>
  <c r="M10" i="2" s="1"/>
  <c r="M8" i="2"/>
  <c r="N10" i="2" s="1"/>
  <c r="P8" i="2"/>
  <c r="Q8" i="2"/>
  <c r="R10" i="2" s="1"/>
  <c r="T8" i="2"/>
  <c r="E10" i="2"/>
  <c r="Q10" i="2"/>
  <c r="U10" i="2"/>
  <c r="E13" i="2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E14" i="2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E15" i="2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E16" i="2"/>
  <c r="F16" i="2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E5" i="1"/>
  <c r="E29" i="1" s="1"/>
  <c r="F5" i="1"/>
  <c r="F13" i="1" s="1"/>
  <c r="G5" i="1"/>
  <c r="H5" i="1"/>
  <c r="I5" i="1"/>
  <c r="I13" i="1" s="1"/>
  <c r="J5" i="1"/>
  <c r="J13" i="1" s="1"/>
  <c r="K5" i="1"/>
  <c r="L5" i="1"/>
  <c r="M5" i="1"/>
  <c r="M20" i="1" s="1"/>
  <c r="N5" i="1"/>
  <c r="N13" i="1" s="1"/>
  <c r="O5" i="1"/>
  <c r="P5" i="1"/>
  <c r="Q5" i="1"/>
  <c r="Q20" i="1" s="1"/>
  <c r="R5" i="1"/>
  <c r="R13" i="1" s="1"/>
  <c r="S5" i="1"/>
  <c r="T5" i="1"/>
  <c r="T20" i="1" s="1"/>
  <c r="U5" i="1"/>
  <c r="U13" i="1" s="1"/>
  <c r="V5" i="1"/>
  <c r="V13" i="1" s="1"/>
  <c r="W5" i="1"/>
  <c r="X5" i="1"/>
  <c r="X20" i="1" s="1"/>
  <c r="E9" i="1"/>
  <c r="E34" i="1" s="1"/>
  <c r="G41" i="10" s="1"/>
  <c r="F9" i="1"/>
  <c r="G9" i="1"/>
  <c r="H9" i="1"/>
  <c r="H21" i="1" s="1"/>
  <c r="I9" i="1"/>
  <c r="J9" i="1"/>
  <c r="K9" i="1"/>
  <c r="L9" i="1"/>
  <c r="L21" i="1" s="1"/>
  <c r="M9" i="1"/>
  <c r="N9" i="1"/>
  <c r="O9" i="1"/>
  <c r="O21" i="1" s="1"/>
  <c r="P9" i="1"/>
  <c r="Q9" i="1"/>
  <c r="R9" i="1"/>
  <c r="S9" i="1"/>
  <c r="S21" i="1" s="1"/>
  <c r="T9" i="1"/>
  <c r="U9" i="1"/>
  <c r="V9" i="1"/>
  <c r="W9" i="1"/>
  <c r="X9" i="1"/>
  <c r="G13" i="1"/>
  <c r="H13" i="1"/>
  <c r="K13" i="1"/>
  <c r="L13" i="1"/>
  <c r="O13" i="1"/>
  <c r="P13" i="1"/>
  <c r="S13" i="1"/>
  <c r="T13" i="1"/>
  <c r="W13" i="1"/>
  <c r="X13" i="1"/>
  <c r="E20" i="1"/>
  <c r="G20" i="1"/>
  <c r="H20" i="1"/>
  <c r="I20" i="1"/>
  <c r="I64" i="1" s="1"/>
  <c r="J20" i="1"/>
  <c r="J22" i="1" s="1"/>
  <c r="K20" i="1"/>
  <c r="L20" i="1"/>
  <c r="N20" i="1"/>
  <c r="N22" i="1" s="1"/>
  <c r="O20" i="1"/>
  <c r="P20" i="1"/>
  <c r="P22" i="1" s="1"/>
  <c r="R20" i="1"/>
  <c r="R22" i="1" s="1"/>
  <c r="S20" i="1"/>
  <c r="S22" i="1" s="1"/>
  <c r="U20" i="1"/>
  <c r="U64" i="1" s="1"/>
  <c r="V20" i="1"/>
  <c r="V22" i="1" s="1"/>
  <c r="W20" i="1"/>
  <c r="W22" i="1" s="1"/>
  <c r="E21" i="1"/>
  <c r="F21" i="1"/>
  <c r="G21" i="1"/>
  <c r="G22" i="1" s="1"/>
  <c r="I21" i="1"/>
  <c r="I65" i="1" s="1"/>
  <c r="J21" i="1"/>
  <c r="K21" i="1"/>
  <c r="K22" i="1" s="1"/>
  <c r="M21" i="1"/>
  <c r="M65" i="1" s="1"/>
  <c r="N21" i="1"/>
  <c r="N65" i="1" s="1"/>
  <c r="P21" i="1"/>
  <c r="Q21" i="1"/>
  <c r="Q65" i="1" s="1"/>
  <c r="R21" i="1"/>
  <c r="T21" i="1"/>
  <c r="U21" i="1"/>
  <c r="U65" i="1"/>
  <c r="V21" i="1"/>
  <c r="W21" i="1"/>
  <c r="W65" i="1" s="1"/>
  <c r="X21" i="1"/>
  <c r="E22" i="1"/>
  <c r="I22" i="1"/>
  <c r="U22" i="1"/>
  <c r="E42" i="1"/>
  <c r="E43" i="1"/>
  <c r="E48" i="1"/>
  <c r="E49" i="1"/>
  <c r="E50" i="1"/>
  <c r="E52" i="1"/>
  <c r="E53" i="1"/>
  <c r="E54" i="1"/>
  <c r="G64" i="1"/>
  <c r="J64" i="1"/>
  <c r="K64" i="1"/>
  <c r="N64" i="1"/>
  <c r="O64" i="1"/>
  <c r="R64" i="1"/>
  <c r="V64" i="1"/>
  <c r="W64" i="1"/>
  <c r="F65" i="1"/>
  <c r="J65" i="1"/>
  <c r="K65" i="1"/>
  <c r="R65" i="1"/>
  <c r="V65" i="1"/>
  <c r="F72" i="1"/>
  <c r="G72" i="1" s="1"/>
  <c r="H72" i="1" s="1"/>
  <c r="J72" i="1"/>
  <c r="K72" i="1" s="1"/>
  <c r="L72" i="1" s="1"/>
  <c r="N72" i="1"/>
  <c r="O72" i="1" s="1"/>
  <c r="P72" i="1" s="1"/>
  <c r="R72" i="1"/>
  <c r="S72" i="1"/>
  <c r="T72" i="1" s="1"/>
  <c r="U72" i="1" s="1"/>
  <c r="V72" i="1" s="1"/>
  <c r="W72" i="1" s="1"/>
  <c r="X72" i="1" s="1"/>
  <c r="F73" i="1"/>
  <c r="G73" i="1" s="1"/>
  <c r="H73" i="1" s="1"/>
  <c r="J73" i="1"/>
  <c r="K73" i="1"/>
  <c r="L73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G80" i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G81" i="1"/>
  <c r="H81" i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F6" i="4"/>
  <c r="G6" i="4" s="1"/>
  <c r="H6" i="4" s="1"/>
  <c r="J6" i="4"/>
  <c r="K6" i="4"/>
  <c r="F9" i="4"/>
  <c r="H9" i="4"/>
  <c r="J9" i="4"/>
  <c r="K9" i="4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F12" i="4"/>
  <c r="G12" i="4" s="1"/>
  <c r="H12" i="4" s="1"/>
  <c r="J12" i="4"/>
  <c r="K12" i="4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F15" i="4"/>
  <c r="G15" i="4" s="1"/>
  <c r="E17" i="4"/>
  <c r="E18" i="4"/>
  <c r="E64" i="4" s="1"/>
  <c r="F22" i="4"/>
  <c r="F25" i="4"/>
  <c r="G25" i="4" s="1"/>
  <c r="H25" i="4" s="1"/>
  <c r="F28" i="4"/>
  <c r="G28" i="4" s="1"/>
  <c r="J28" i="4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E30" i="4"/>
  <c r="E31" i="4"/>
  <c r="E78" i="4"/>
  <c r="F35" i="4"/>
  <c r="J35" i="4"/>
  <c r="K35" i="4" s="1"/>
  <c r="L35" i="4" s="1"/>
  <c r="F38" i="4"/>
  <c r="G38" i="4"/>
  <c r="H38" i="4" s="1"/>
  <c r="F41" i="4"/>
  <c r="G41" i="4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E43" i="4"/>
  <c r="E44" i="4"/>
  <c r="F48" i="4"/>
  <c r="G48" i="4"/>
  <c r="H48" i="4" s="1"/>
  <c r="I48" i="4" s="1"/>
  <c r="F51" i="4"/>
  <c r="G51" i="4" s="1"/>
  <c r="Q51" i="4"/>
  <c r="R51" i="4" s="1"/>
  <c r="S51" i="4" s="1"/>
  <c r="T51" i="4" s="1"/>
  <c r="U51" i="4" s="1"/>
  <c r="V51" i="4" s="1"/>
  <c r="W51" i="4" s="1"/>
  <c r="X51" i="4" s="1"/>
  <c r="F54" i="4"/>
  <c r="G54" i="4" s="1"/>
  <c r="E56" i="4"/>
  <c r="E57" i="4"/>
  <c r="E67" i="4" s="1"/>
  <c r="E61" i="4"/>
  <c r="E65" i="4"/>
  <c r="E66" i="4"/>
  <c r="F74" i="4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E75" i="4"/>
  <c r="F77" i="4"/>
  <c r="G77" i="4" s="1"/>
  <c r="H77" i="4" s="1"/>
  <c r="I77" i="4" s="1"/>
  <c r="J77" i="4" s="1"/>
  <c r="K77" i="4" s="1"/>
  <c r="L77" i="4" s="1"/>
  <c r="M77" i="4" s="1"/>
  <c r="N77" i="4" s="1"/>
  <c r="O77" i="4" s="1"/>
  <c r="P77" i="4" s="1"/>
  <c r="Q77" i="4" s="1"/>
  <c r="R77" i="4" s="1"/>
  <c r="S77" i="4" s="1"/>
  <c r="T77" i="4" s="1"/>
  <c r="U77" i="4" s="1"/>
  <c r="V77" i="4" s="1"/>
  <c r="W77" i="4" s="1"/>
  <c r="X77" i="4" s="1"/>
  <c r="F80" i="4"/>
  <c r="G80" i="4" s="1"/>
  <c r="E81" i="4"/>
  <c r="F83" i="4"/>
  <c r="G83" i="4" s="1"/>
  <c r="H83" i="4" s="1"/>
  <c r="I83" i="4" s="1"/>
  <c r="J83" i="4" s="1"/>
  <c r="K83" i="4" s="1"/>
  <c r="L83" i="4" s="1"/>
  <c r="M83" i="4" s="1"/>
  <c r="N83" i="4" s="1"/>
  <c r="O83" i="4" s="1"/>
  <c r="P83" i="4" s="1"/>
  <c r="Q83" i="4" s="1"/>
  <c r="R83" i="4" s="1"/>
  <c r="S83" i="4" s="1"/>
  <c r="T83" i="4" s="1"/>
  <c r="U83" i="4" s="1"/>
  <c r="V83" i="4" s="1"/>
  <c r="W83" i="4" s="1"/>
  <c r="X83" i="4" s="1"/>
  <c r="G7" i="5"/>
  <c r="H7" i="5" s="1"/>
  <c r="G10" i="5"/>
  <c r="H10" i="5" s="1"/>
  <c r="I10" i="5" s="1"/>
  <c r="J10" i="5" s="1"/>
  <c r="K10" i="5" s="1"/>
  <c r="L10" i="5" s="1"/>
  <c r="G13" i="5"/>
  <c r="G16" i="5"/>
  <c r="H16" i="5" s="1"/>
  <c r="I16" i="5" s="1"/>
  <c r="J16" i="5" s="1"/>
  <c r="K16" i="5" s="1"/>
  <c r="L16" i="5" s="1"/>
  <c r="G23" i="5"/>
  <c r="H23" i="5" s="1"/>
  <c r="G26" i="5"/>
  <c r="H26" i="5" s="1"/>
  <c r="I26" i="5" s="1"/>
  <c r="J26" i="5" s="1"/>
  <c r="K26" i="5" s="1"/>
  <c r="L26" i="5" s="1"/>
  <c r="M26" i="5" s="1"/>
  <c r="N26" i="5" s="1"/>
  <c r="F35" i="5"/>
  <c r="F36" i="5" s="1"/>
  <c r="F37" i="5"/>
  <c r="F38" i="5" s="1"/>
  <c r="F39" i="5"/>
  <c r="F40" i="5" s="1"/>
  <c r="F41" i="5"/>
  <c r="F42" i="5" s="1"/>
  <c r="F44" i="5"/>
  <c r="F45" i="5" s="1"/>
  <c r="F46" i="5"/>
  <c r="F47" i="5" s="1"/>
  <c r="J50" i="5"/>
  <c r="K50" i="5" s="1"/>
  <c r="F51" i="5"/>
  <c r="F53" i="5"/>
  <c r="F55" i="5"/>
  <c r="F57" i="5"/>
  <c r="F58" i="5"/>
  <c r="F120" i="5" s="1"/>
  <c r="F64" i="5"/>
  <c r="F68" i="5" s="1"/>
  <c r="F66" i="5"/>
  <c r="F67" i="5"/>
  <c r="F123" i="5" s="1"/>
  <c r="F73" i="5"/>
  <c r="L73" i="5"/>
  <c r="F75" i="5"/>
  <c r="F77" i="5"/>
  <c r="F78" i="5"/>
  <c r="F126" i="5" s="1"/>
  <c r="AA82" i="5"/>
  <c r="AB82" i="5" s="1"/>
  <c r="AC82" i="5" s="1"/>
  <c r="AD82" i="5" s="1"/>
  <c r="AE82" i="5" s="1"/>
  <c r="G103" i="5"/>
  <c r="H103" i="5" s="1"/>
  <c r="K103" i="5"/>
  <c r="L103" i="5" s="1"/>
  <c r="M103" i="5" s="1"/>
  <c r="O103" i="5"/>
  <c r="P103" i="5" s="1"/>
  <c r="Q103" i="5" s="1"/>
  <c r="R103" i="5" s="1"/>
  <c r="S103" i="5" s="1"/>
  <c r="T103" i="5" s="1"/>
  <c r="U103" i="5" s="1"/>
  <c r="V103" i="5" s="1"/>
  <c r="W103" i="5" s="1"/>
  <c r="X103" i="5" s="1"/>
  <c r="Y103" i="5" s="1"/>
  <c r="G104" i="5"/>
  <c r="H104" i="5" s="1"/>
  <c r="I104" i="5" s="1"/>
  <c r="K104" i="5"/>
  <c r="L104" i="5" s="1"/>
  <c r="M104" i="5" s="1"/>
  <c r="O104" i="5"/>
  <c r="P104" i="5" s="1"/>
  <c r="Q104" i="5" s="1"/>
  <c r="S104" i="5"/>
  <c r="T104" i="5" s="1"/>
  <c r="U104" i="5" s="1"/>
  <c r="V104" i="5" s="1"/>
  <c r="W104" i="5" s="1"/>
  <c r="X104" i="5" s="1"/>
  <c r="Y104" i="5" s="1"/>
  <c r="G105" i="5"/>
  <c r="H105" i="5" s="1"/>
  <c r="I105" i="5" s="1"/>
  <c r="K105" i="5"/>
  <c r="L105" i="5" s="1"/>
  <c r="M105" i="5" s="1"/>
  <c r="O105" i="5"/>
  <c r="P105" i="5" s="1"/>
  <c r="Q105" i="5" s="1"/>
  <c r="S105" i="5"/>
  <c r="T105" i="5" s="1"/>
  <c r="U105" i="5" s="1"/>
  <c r="V105" i="5" s="1"/>
  <c r="W105" i="5" s="1"/>
  <c r="X105" i="5" s="1"/>
  <c r="Y105" i="5" s="1"/>
  <c r="G106" i="5"/>
  <c r="H106" i="5" s="1"/>
  <c r="I106" i="5" s="1"/>
  <c r="J106" i="5" s="1"/>
  <c r="K106" i="5" s="1"/>
  <c r="L106" i="5" s="1"/>
  <c r="M106" i="5" s="1"/>
  <c r="N106" i="5" s="1"/>
  <c r="O106" i="5" s="1"/>
  <c r="P106" i="5" s="1"/>
  <c r="Q106" i="5" s="1"/>
  <c r="R106" i="5" s="1"/>
  <c r="S106" i="5" s="1"/>
  <c r="T106" i="5" s="1"/>
  <c r="U106" i="5" s="1"/>
  <c r="V106" i="5" s="1"/>
  <c r="W106" i="5" s="1"/>
  <c r="X106" i="5" s="1"/>
  <c r="Y106" i="5" s="1"/>
  <c r="F107" i="5"/>
  <c r="F110" i="5"/>
  <c r="G113" i="5"/>
  <c r="H113" i="5" s="1"/>
  <c r="I113" i="5" s="1"/>
  <c r="K113" i="5"/>
  <c r="L113" i="5" s="1"/>
  <c r="M113" i="5" s="1"/>
  <c r="O113" i="5"/>
  <c r="P113" i="5" s="1"/>
  <c r="Q113" i="5" s="1"/>
  <c r="R113" i="5" s="1"/>
  <c r="S113" i="5" s="1"/>
  <c r="T113" i="5" s="1"/>
  <c r="U113" i="5" s="1"/>
  <c r="V113" i="5" s="1"/>
  <c r="W113" i="5" s="1"/>
  <c r="X113" i="5" s="1"/>
  <c r="Y113" i="5" s="1"/>
  <c r="G114" i="5"/>
  <c r="H114" i="5"/>
  <c r="I114" i="5" s="1"/>
  <c r="K114" i="5"/>
  <c r="L114" i="5" s="1"/>
  <c r="M114" i="5" s="1"/>
  <c r="O114" i="5"/>
  <c r="P114" i="5" s="1"/>
  <c r="Q114" i="5" s="1"/>
  <c r="R114" i="5" s="1"/>
  <c r="S114" i="5" s="1"/>
  <c r="T114" i="5" s="1"/>
  <c r="U114" i="5" s="1"/>
  <c r="V114" i="5" s="1"/>
  <c r="W114" i="5" s="1"/>
  <c r="X114" i="5" s="1"/>
  <c r="Y114" i="5" s="1"/>
  <c r="F115" i="5"/>
  <c r="G119" i="5"/>
  <c r="H119" i="5"/>
  <c r="I119" i="5" s="1"/>
  <c r="J119" i="5" s="1"/>
  <c r="G122" i="5"/>
  <c r="H122" i="5" s="1"/>
  <c r="I122" i="5" s="1"/>
  <c r="J122" i="5" s="1"/>
  <c r="K122" i="5" s="1"/>
  <c r="L122" i="5" s="1"/>
  <c r="M122" i="5" s="1"/>
  <c r="N122" i="5" s="1"/>
  <c r="O122" i="5" s="1"/>
  <c r="P122" i="5" s="1"/>
  <c r="Q122" i="5" s="1"/>
  <c r="R122" i="5" s="1"/>
  <c r="S122" i="5" s="1"/>
  <c r="T122" i="5" s="1"/>
  <c r="U122" i="5" s="1"/>
  <c r="V122" i="5" s="1"/>
  <c r="W122" i="5" s="1"/>
  <c r="X122" i="5" s="1"/>
  <c r="Y122" i="5" s="1"/>
  <c r="G125" i="5"/>
  <c r="H125" i="5" s="1"/>
  <c r="I125" i="5" s="1"/>
  <c r="J125" i="5" s="1"/>
  <c r="K125" i="5" s="1"/>
  <c r="L125" i="5" s="1"/>
  <c r="M125" i="5" s="1"/>
  <c r="N125" i="5" s="1"/>
  <c r="O125" i="5" s="1"/>
  <c r="P125" i="5" s="1"/>
  <c r="Q125" i="5" s="1"/>
  <c r="R125" i="5" s="1"/>
  <c r="S125" i="5" s="1"/>
  <c r="T125" i="5" s="1"/>
  <c r="U125" i="5" s="1"/>
  <c r="V125" i="5" s="1"/>
  <c r="W125" i="5" s="1"/>
  <c r="X125" i="5" s="1"/>
  <c r="Y125" i="5" s="1"/>
  <c r="G131" i="5"/>
  <c r="H131" i="5" s="1"/>
  <c r="I131" i="5" s="1"/>
  <c r="J131" i="5" s="1"/>
  <c r="K131" i="5" s="1"/>
  <c r="L131" i="5" s="1"/>
  <c r="M131" i="5" s="1"/>
  <c r="N131" i="5" s="1"/>
  <c r="O131" i="5" s="1"/>
  <c r="P131" i="5" s="1"/>
  <c r="Q131" i="5" s="1"/>
  <c r="R131" i="5" s="1"/>
  <c r="S131" i="5" s="1"/>
  <c r="T131" i="5" s="1"/>
  <c r="U131" i="5" s="1"/>
  <c r="V131" i="5" s="1"/>
  <c r="W131" i="5" s="1"/>
  <c r="X131" i="5" s="1"/>
  <c r="Y131" i="5" s="1"/>
  <c r="G132" i="5"/>
  <c r="H132" i="5"/>
  <c r="I132" i="5" s="1"/>
  <c r="J132" i="5" s="1"/>
  <c r="K132" i="5" s="1"/>
  <c r="L132" i="5" s="1"/>
  <c r="M132" i="5" s="1"/>
  <c r="N132" i="5" s="1"/>
  <c r="O132" i="5" s="1"/>
  <c r="P132" i="5" s="1"/>
  <c r="Q132" i="5" s="1"/>
  <c r="R132" i="5" s="1"/>
  <c r="S132" i="5" s="1"/>
  <c r="T132" i="5" s="1"/>
  <c r="U132" i="5" s="1"/>
  <c r="V132" i="5" s="1"/>
  <c r="W132" i="5" s="1"/>
  <c r="X132" i="5" s="1"/>
  <c r="Y132" i="5" s="1"/>
  <c r="G133" i="5"/>
  <c r="H133" i="5" s="1"/>
  <c r="I133" i="5" s="1"/>
  <c r="J133" i="5" s="1"/>
  <c r="K133" i="5" s="1"/>
  <c r="L133" i="5" s="1"/>
  <c r="M133" i="5" s="1"/>
  <c r="N133" i="5" s="1"/>
  <c r="O133" i="5" s="1"/>
  <c r="P133" i="5" s="1"/>
  <c r="Q133" i="5" s="1"/>
  <c r="R133" i="5" s="1"/>
  <c r="S133" i="5" s="1"/>
  <c r="T133" i="5" s="1"/>
  <c r="U133" i="5" s="1"/>
  <c r="V133" i="5" s="1"/>
  <c r="W133" i="5" s="1"/>
  <c r="X133" i="5" s="1"/>
  <c r="Y133" i="5" s="1"/>
  <c r="G134" i="5"/>
  <c r="H134" i="5" s="1"/>
  <c r="F135" i="5"/>
  <c r="F137" i="5"/>
  <c r="G141" i="5"/>
  <c r="H141" i="5" s="1"/>
  <c r="I141" i="5" s="1"/>
  <c r="J141" i="5" s="1"/>
  <c r="K141" i="5" s="1"/>
  <c r="L141" i="5" s="1"/>
  <c r="M141" i="5" s="1"/>
  <c r="N141" i="5" s="1"/>
  <c r="O141" i="5" s="1"/>
  <c r="P141" i="5" s="1"/>
  <c r="Q141" i="5" s="1"/>
  <c r="R141" i="5" s="1"/>
  <c r="S141" i="5" s="1"/>
  <c r="T141" i="5" s="1"/>
  <c r="U141" i="5" s="1"/>
  <c r="V141" i="5" s="1"/>
  <c r="W141" i="5" s="1"/>
  <c r="X141" i="5" s="1"/>
  <c r="Y141" i="5" s="1"/>
  <c r="G142" i="5"/>
  <c r="H142" i="5"/>
  <c r="I142" i="5" s="1"/>
  <c r="J142" i="5" s="1"/>
  <c r="K142" i="5" s="1"/>
  <c r="L142" i="5" s="1"/>
  <c r="M142" i="5" s="1"/>
  <c r="N142" i="5" s="1"/>
  <c r="O142" i="5" s="1"/>
  <c r="P142" i="5" s="1"/>
  <c r="Q142" i="5" s="1"/>
  <c r="R142" i="5" s="1"/>
  <c r="S142" i="5" s="1"/>
  <c r="T142" i="5" s="1"/>
  <c r="U142" i="5" s="1"/>
  <c r="V142" i="5" s="1"/>
  <c r="W142" i="5" s="1"/>
  <c r="X142" i="5" s="1"/>
  <c r="Y142" i="5" s="1"/>
  <c r="F143" i="5"/>
  <c r="G147" i="5"/>
  <c r="H147" i="5" s="1"/>
  <c r="I147" i="5" s="1"/>
  <c r="J147" i="5" s="1"/>
  <c r="K147" i="5" s="1"/>
  <c r="L147" i="5" s="1"/>
  <c r="M147" i="5" s="1"/>
  <c r="N147" i="5" s="1"/>
  <c r="F148" i="5"/>
  <c r="G150" i="5"/>
  <c r="H150" i="5"/>
  <c r="G153" i="5"/>
  <c r="H153" i="5" s="1"/>
  <c r="E7" i="6"/>
  <c r="G12" i="6" s="1"/>
  <c r="AA8" i="6"/>
  <c r="AB8" i="6"/>
  <c r="G11" i="6"/>
  <c r="H11" i="6"/>
  <c r="H38" i="6" s="1"/>
  <c r="I11" i="6"/>
  <c r="J11" i="6"/>
  <c r="J38" i="6" s="1"/>
  <c r="K11" i="6"/>
  <c r="L11" i="6"/>
  <c r="L38" i="6" s="1"/>
  <c r="K23" i="18" s="1"/>
  <c r="M11" i="6"/>
  <c r="N11" i="6"/>
  <c r="O11" i="6"/>
  <c r="P11" i="6"/>
  <c r="Q11" i="6"/>
  <c r="R11" i="6"/>
  <c r="S11" i="6"/>
  <c r="T11" i="6"/>
  <c r="U11" i="6"/>
  <c r="V11" i="6"/>
  <c r="V38" i="6" s="1"/>
  <c r="W11" i="6"/>
  <c r="X11" i="6"/>
  <c r="Y11" i="6"/>
  <c r="Z11" i="6"/>
  <c r="Z38" i="6" s="1"/>
  <c r="O12" i="6"/>
  <c r="E23" i="6"/>
  <c r="H28" i="6" s="1"/>
  <c r="AA24" i="6"/>
  <c r="AB24" i="6" s="1"/>
  <c r="G27" i="6"/>
  <c r="G38" i="6" s="1"/>
  <c r="H27" i="6"/>
  <c r="I27" i="6"/>
  <c r="J27" i="6"/>
  <c r="K27" i="6"/>
  <c r="L27" i="6"/>
  <c r="M27" i="6"/>
  <c r="M38" i="6" s="1"/>
  <c r="N27" i="6"/>
  <c r="N38" i="6"/>
  <c r="O27" i="6"/>
  <c r="P27" i="6"/>
  <c r="P38" i="6" s="1"/>
  <c r="Q27" i="6"/>
  <c r="R27" i="6"/>
  <c r="S27" i="6"/>
  <c r="T27" i="6"/>
  <c r="U27" i="6"/>
  <c r="U38" i="6" s="1"/>
  <c r="V27" i="6"/>
  <c r="W27" i="6"/>
  <c r="W38" i="6" s="1"/>
  <c r="X27" i="6"/>
  <c r="Y27" i="6"/>
  <c r="Z27" i="6"/>
  <c r="G28" i="6"/>
  <c r="G29" i="6" s="1"/>
  <c r="O28" i="6"/>
  <c r="S28" i="6"/>
  <c r="W28" i="6"/>
  <c r="K38" i="6"/>
  <c r="O38" i="6"/>
  <c r="S38" i="6"/>
  <c r="E49" i="6"/>
  <c r="G54" i="6" s="1"/>
  <c r="AA50" i="6"/>
  <c r="AB50" i="6" s="1"/>
  <c r="G53" i="6"/>
  <c r="H53" i="6"/>
  <c r="I53" i="6"/>
  <c r="J53" i="6"/>
  <c r="K53" i="6"/>
  <c r="L53" i="6"/>
  <c r="M53" i="6"/>
  <c r="N53" i="6"/>
  <c r="O53" i="6"/>
  <c r="P53" i="6"/>
  <c r="Q53" i="6"/>
  <c r="Q112" i="6" s="1"/>
  <c r="R53" i="6"/>
  <c r="S53" i="6"/>
  <c r="T53" i="6"/>
  <c r="U53" i="6"/>
  <c r="V53" i="6"/>
  <c r="W53" i="6"/>
  <c r="X53" i="6"/>
  <c r="Y53" i="6"/>
  <c r="Z53" i="6"/>
  <c r="H54" i="6"/>
  <c r="L54" i="6"/>
  <c r="P54" i="6"/>
  <c r="T54" i="6"/>
  <c r="X54" i="6"/>
  <c r="E65" i="6"/>
  <c r="H70" i="6" s="1"/>
  <c r="AA66" i="6"/>
  <c r="AB66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G70" i="6"/>
  <c r="G71" i="6" s="1"/>
  <c r="G72" i="6" s="1"/>
  <c r="O70" i="6"/>
  <c r="W70" i="6"/>
  <c r="E81" i="6"/>
  <c r="H86" i="6" s="1"/>
  <c r="AA82" i="6"/>
  <c r="AB82" i="6" s="1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Z112" i="6" s="1"/>
  <c r="I86" i="6"/>
  <c r="M86" i="6"/>
  <c r="Q86" i="6"/>
  <c r="U86" i="6"/>
  <c r="Y86" i="6"/>
  <c r="E97" i="6"/>
  <c r="H102" i="6" s="1"/>
  <c r="AA98" i="6"/>
  <c r="AB98" i="6" s="1"/>
  <c r="G101" i="6"/>
  <c r="H101" i="6"/>
  <c r="H112" i="6" s="1"/>
  <c r="I101" i="6"/>
  <c r="J101" i="6"/>
  <c r="J112" i="6" s="1"/>
  <c r="K101" i="6"/>
  <c r="L101" i="6"/>
  <c r="M101" i="6"/>
  <c r="N101" i="6"/>
  <c r="N112" i="6" s="1"/>
  <c r="M23" i="18" s="1"/>
  <c r="O101" i="6"/>
  <c r="P101" i="6"/>
  <c r="Q101" i="6"/>
  <c r="R101" i="6"/>
  <c r="R112" i="6" s="1"/>
  <c r="S101" i="6"/>
  <c r="T101" i="6"/>
  <c r="T112" i="6" s="1"/>
  <c r="U101" i="6"/>
  <c r="V101" i="6"/>
  <c r="V112" i="6" s="1"/>
  <c r="W101" i="6"/>
  <c r="X101" i="6"/>
  <c r="Y101" i="6"/>
  <c r="Z101" i="6"/>
  <c r="G102" i="6"/>
  <c r="I102" i="6"/>
  <c r="J102" i="6"/>
  <c r="L102" i="6"/>
  <c r="N102" i="6"/>
  <c r="P102" i="6"/>
  <c r="S102" i="6"/>
  <c r="U102" i="6"/>
  <c r="W102" i="6"/>
  <c r="Y102" i="6"/>
  <c r="Z102" i="6"/>
  <c r="L112" i="6"/>
  <c r="P112" i="6"/>
  <c r="X112" i="6"/>
  <c r="E5" i="9"/>
  <c r="F5" i="9"/>
  <c r="G5" i="9"/>
  <c r="H5" i="9"/>
  <c r="I5" i="9"/>
  <c r="J5" i="9"/>
  <c r="M5" i="9"/>
  <c r="N5" i="9"/>
  <c r="P5" i="9"/>
  <c r="Q5" i="9"/>
  <c r="R5" i="9"/>
  <c r="S5" i="9"/>
  <c r="T5" i="9"/>
  <c r="U5" i="9"/>
  <c r="V5" i="9"/>
  <c r="W5" i="9"/>
  <c r="X5" i="9"/>
  <c r="E9" i="9"/>
  <c r="F9" i="9" s="1"/>
  <c r="F14" i="9"/>
  <c r="G14" i="9" s="1"/>
  <c r="H14" i="9" s="1"/>
  <c r="E15" i="9"/>
  <c r="F15" i="9"/>
  <c r="F26" i="9"/>
  <c r="F27" i="9" s="1"/>
  <c r="E27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E31" i="9"/>
  <c r="F31" i="9" s="1"/>
  <c r="F41" i="9"/>
  <c r="G41" i="9" s="1"/>
  <c r="E42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E46" i="9"/>
  <c r="F53" i="9"/>
  <c r="F54" i="9" s="1"/>
  <c r="G53" i="9"/>
  <c r="H53" i="9" s="1"/>
  <c r="E54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E58" i="9"/>
  <c r="F58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E78" i="9"/>
  <c r="F78" i="9"/>
  <c r="G78" i="9" s="1"/>
  <c r="H78" i="9" s="1"/>
  <c r="I78" i="9" s="1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E26" i="29"/>
  <c r="F26" i="29"/>
  <c r="E27" i="29"/>
  <c r="F27" i="29"/>
  <c r="E28" i="29"/>
  <c r="F28" i="29"/>
  <c r="E29" i="29"/>
  <c r="F29" i="29"/>
  <c r="E30" i="29"/>
  <c r="F30" i="2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T21" i="19" s="1"/>
  <c r="U22" i="19"/>
  <c r="V22" i="19"/>
  <c r="W22" i="19"/>
  <c r="X22" i="19"/>
  <c r="Y22" i="19"/>
  <c r="F23" i="19"/>
  <c r="G23" i="19"/>
  <c r="H23" i="19"/>
  <c r="H21" i="19" s="1"/>
  <c r="I23" i="19"/>
  <c r="I21" i="19"/>
  <c r="C24" i="21" s="1"/>
  <c r="J23" i="19"/>
  <c r="J21" i="19" s="1"/>
  <c r="K23" i="19"/>
  <c r="L23" i="19"/>
  <c r="M23" i="19"/>
  <c r="N23" i="19"/>
  <c r="N21" i="19" s="1"/>
  <c r="O23" i="19"/>
  <c r="P23" i="19"/>
  <c r="Q23" i="19"/>
  <c r="R23" i="19"/>
  <c r="S23" i="19"/>
  <c r="T23" i="19"/>
  <c r="U23" i="19"/>
  <c r="V23" i="19"/>
  <c r="W23" i="19"/>
  <c r="X23" i="19"/>
  <c r="X21" i="19" s="1"/>
  <c r="Y23" i="19"/>
  <c r="Y21" i="19" s="1"/>
  <c r="G24" i="21" s="1"/>
  <c r="F24" i="19"/>
  <c r="G24" i="19"/>
  <c r="H24" i="19"/>
  <c r="I24" i="19"/>
  <c r="J24" i="19"/>
  <c r="K24" i="19"/>
  <c r="L24" i="19"/>
  <c r="M24" i="19"/>
  <c r="N24" i="19"/>
  <c r="O24" i="19"/>
  <c r="P24" i="19"/>
  <c r="Q24" i="19"/>
  <c r="E25" i="21" s="1"/>
  <c r="R24" i="19"/>
  <c r="S24" i="19"/>
  <c r="T24" i="19"/>
  <c r="U24" i="19"/>
  <c r="V24" i="19"/>
  <c r="W24" i="19"/>
  <c r="X24" i="19"/>
  <c r="Y24" i="19"/>
  <c r="F7" i="7"/>
  <c r="F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F7" i="18"/>
  <c r="F8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G14" i="10"/>
  <c r="H14" i="10" s="1"/>
  <c r="I14" i="10" s="1"/>
  <c r="J14" i="10" s="1"/>
  <c r="K14" i="10" s="1"/>
  <c r="G20" i="10"/>
  <c r="G33" i="10"/>
  <c r="G36" i="10" s="1"/>
  <c r="I33" i="10"/>
  <c r="J33" i="10"/>
  <c r="K33" i="10"/>
  <c r="L33" i="10"/>
  <c r="M33" i="10"/>
  <c r="N33" i="10"/>
  <c r="P33" i="10"/>
  <c r="Q33" i="10"/>
  <c r="R33" i="10"/>
  <c r="T33" i="10"/>
  <c r="U33" i="10"/>
  <c r="W33" i="10"/>
  <c r="X33" i="10"/>
  <c r="Y33" i="10"/>
  <c r="G38" i="10"/>
  <c r="H38" i="10"/>
  <c r="I38" i="10"/>
  <c r="K38" i="10"/>
  <c r="L38" i="10"/>
  <c r="M38" i="10"/>
  <c r="O38" i="10"/>
  <c r="P38" i="10"/>
  <c r="R38" i="10"/>
  <c r="S38" i="10"/>
  <c r="T38" i="10"/>
  <c r="V38" i="10"/>
  <c r="W38" i="10"/>
  <c r="X38" i="10"/>
  <c r="Y38" i="10"/>
  <c r="Z38" i="10"/>
  <c r="F87" i="10"/>
  <c r="H87" i="10" s="1"/>
  <c r="J87" i="10" s="1"/>
  <c r="L87" i="10" s="1"/>
  <c r="N87" i="10" s="1"/>
  <c r="C2" i="21"/>
  <c r="D2" i="21" s="1"/>
  <c r="E2" i="21" s="1"/>
  <c r="F2" i="21" s="1"/>
  <c r="G2" i="21" s="1"/>
  <c r="C25" i="21"/>
  <c r="D25" i="21"/>
  <c r="F25" i="21"/>
  <c r="F25" i="26" s="1"/>
  <c r="G25" i="21"/>
  <c r="C47" i="21"/>
  <c r="D47" i="21" s="1"/>
  <c r="E47" i="21" s="1"/>
  <c r="F47" i="21" s="1"/>
  <c r="G47" i="21" s="1"/>
  <c r="C2" i="26"/>
  <c r="D2" i="26" s="1"/>
  <c r="E2" i="26" s="1"/>
  <c r="F2" i="26" s="1"/>
  <c r="G2" i="26" s="1"/>
  <c r="C44" i="26"/>
  <c r="D44" i="26" s="1"/>
  <c r="E44" i="26" s="1"/>
  <c r="F44" i="26" s="1"/>
  <c r="G44" i="26" s="1"/>
  <c r="C2" i="23"/>
  <c r="D2" i="23" s="1"/>
  <c r="E2" i="23" s="1"/>
  <c r="F2" i="23" s="1"/>
  <c r="G2" i="23" s="1"/>
  <c r="C43" i="23"/>
  <c r="D43" i="23" s="1"/>
  <c r="E43" i="23" s="1"/>
  <c r="F43" i="23" s="1"/>
  <c r="G43" i="23" s="1"/>
  <c r="C72" i="23"/>
  <c r="D72" i="23" s="1"/>
  <c r="E72" i="23" s="1"/>
  <c r="F72" i="23" s="1"/>
  <c r="G72" i="23" s="1"/>
  <c r="C74" i="23"/>
  <c r="C75" i="23"/>
  <c r="C76" i="23"/>
  <c r="C77" i="23"/>
  <c r="C2" i="25"/>
  <c r="D2" i="25" s="1"/>
  <c r="E2" i="25" s="1"/>
  <c r="F2" i="25" s="1"/>
  <c r="G2" i="25" s="1"/>
  <c r="C45" i="25"/>
  <c r="D45" i="25" s="1"/>
  <c r="E45" i="25" s="1"/>
  <c r="F45" i="25" s="1"/>
  <c r="G45" i="25" s="1"/>
  <c r="C2" i="32"/>
  <c r="D2" i="32" s="1"/>
  <c r="E2" i="32" s="1"/>
  <c r="F2" i="32" s="1"/>
  <c r="G2" i="32" s="1"/>
  <c r="C2" i="27"/>
  <c r="D2" i="27"/>
  <c r="E2" i="27" s="1"/>
  <c r="F2" i="27" s="1"/>
  <c r="G2" i="27" s="1"/>
  <c r="C2" i="31"/>
  <c r="D2" i="31" s="1"/>
  <c r="E2" i="31" s="1"/>
  <c r="F2" i="31" s="1"/>
  <c r="G2" i="31" s="1"/>
  <c r="C2" i="28"/>
  <c r="D2" i="28" s="1"/>
  <c r="E2" i="28" s="1"/>
  <c r="F2" i="28" s="1"/>
  <c r="G2" i="28" s="1"/>
  <c r="C40" i="28"/>
  <c r="C41" i="28"/>
  <c r="C42" i="28"/>
  <c r="C2" i="34"/>
  <c r="D2" i="34"/>
  <c r="E2" i="34" s="1"/>
  <c r="F2" i="34" s="1"/>
  <c r="G2" i="34" s="1"/>
  <c r="E32" i="9"/>
  <c r="E34" i="9" s="1"/>
  <c r="E35" i="9" s="1"/>
  <c r="F19" i="9"/>
  <c r="G19" i="9" s="1"/>
  <c r="H19" i="9" s="1"/>
  <c r="I19" i="9" s="1"/>
  <c r="J19" i="9" s="1"/>
  <c r="K19" i="9" s="1"/>
  <c r="L19" i="9" s="1"/>
  <c r="M19" i="9" s="1"/>
  <c r="N19" i="9" s="1"/>
  <c r="O19" i="9" s="1"/>
  <c r="P19" i="9" s="1"/>
  <c r="Q19" i="9" s="1"/>
  <c r="R19" i="9" s="1"/>
  <c r="S19" i="9" s="1"/>
  <c r="T19" i="9" s="1"/>
  <c r="U19" i="9" s="1"/>
  <c r="V19" i="9" s="1"/>
  <c r="W19" i="9" s="1"/>
  <c r="X19" i="9" s="1"/>
  <c r="Q26" i="18"/>
  <c r="V26" i="18"/>
  <c r="U26" i="18"/>
  <c r="M26" i="18"/>
  <c r="R26" i="18"/>
  <c r="G26" i="18"/>
  <c r="I26" i="18"/>
  <c r="F26" i="18"/>
  <c r="N26" i="18"/>
  <c r="K26" i="18"/>
  <c r="Y26" i="18"/>
  <c r="J26" i="18"/>
  <c r="G58" i="9"/>
  <c r="H58" i="9" s="1"/>
  <c r="X26" i="18"/>
  <c r="T26" i="18"/>
  <c r="P26" i="18"/>
  <c r="L26" i="18"/>
  <c r="H26" i="18"/>
  <c r="D66" i="21"/>
  <c r="D26" i="31" s="1"/>
  <c r="G31" i="9"/>
  <c r="C66" i="21"/>
  <c r="C26" i="31" s="1"/>
  <c r="F29" i="19"/>
  <c r="E20" i="9"/>
  <c r="E22" i="9" s="1"/>
  <c r="E23" i="9" s="1"/>
  <c r="S21" i="19"/>
  <c r="G21" i="19"/>
  <c r="S26" i="18"/>
  <c r="O26" i="18"/>
  <c r="G54" i="9"/>
  <c r="D25" i="26"/>
  <c r="D24" i="23"/>
  <c r="E47" i="9"/>
  <c r="E49" i="9" s="1"/>
  <c r="E50" i="9" s="1"/>
  <c r="F46" i="9"/>
  <c r="H41" i="9"/>
  <c r="G42" i="9"/>
  <c r="F32" i="19"/>
  <c r="W21" i="19"/>
  <c r="O21" i="19"/>
  <c r="G66" i="21"/>
  <c r="G15" i="9"/>
  <c r="I14" i="9"/>
  <c r="H15" i="9"/>
  <c r="F66" i="21"/>
  <c r="I153" i="5"/>
  <c r="K119" i="5"/>
  <c r="AA53" i="6"/>
  <c r="AB53" i="6"/>
  <c r="AA27" i="6"/>
  <c r="AB27" i="6" s="1"/>
  <c r="O39" i="6"/>
  <c r="H13" i="5"/>
  <c r="AA11" i="6"/>
  <c r="AB11" i="6" s="1"/>
  <c r="I38" i="6"/>
  <c r="I150" i="5"/>
  <c r="AA101" i="6"/>
  <c r="AB101" i="6"/>
  <c r="AA85" i="6"/>
  <c r="AB85" i="6" s="1"/>
  <c r="AA69" i="6"/>
  <c r="AB69" i="6"/>
  <c r="G35" i="4"/>
  <c r="F43" i="4"/>
  <c r="J48" i="4"/>
  <c r="X65" i="1"/>
  <c r="T65" i="1"/>
  <c r="P65" i="1"/>
  <c r="P64" i="1"/>
  <c r="L64" i="1"/>
  <c r="H64" i="1"/>
  <c r="E8" i="2"/>
  <c r="F7" i="2"/>
  <c r="U8" i="2"/>
  <c r="V10" i="2"/>
  <c r="V7" i="2"/>
  <c r="M35" i="4"/>
  <c r="F30" i="4"/>
  <c r="G22" i="4"/>
  <c r="E68" i="4"/>
  <c r="F17" i="18" s="1"/>
  <c r="I7" i="5"/>
  <c r="L6" i="4"/>
  <c r="E65" i="1"/>
  <c r="F28" i="5"/>
  <c r="E64" i="1"/>
  <c r="F18" i="5"/>
  <c r="F19" i="5" s="1"/>
  <c r="D5" i="34"/>
  <c r="H31" i="9"/>
  <c r="I31" i="9" s="1"/>
  <c r="C5" i="34"/>
  <c r="D62" i="23"/>
  <c r="D63" i="26"/>
  <c r="E9" i="2"/>
  <c r="F10" i="2"/>
  <c r="F28" i="1"/>
  <c r="F13" i="4"/>
  <c r="F31" i="1"/>
  <c r="F7" i="4"/>
  <c r="F10" i="4"/>
  <c r="F27" i="1"/>
  <c r="F33" i="1"/>
  <c r="F29" i="4"/>
  <c r="F32" i="1"/>
  <c r="F23" i="4"/>
  <c r="G54" i="5"/>
  <c r="G72" i="5"/>
  <c r="F16" i="4"/>
  <c r="F39" i="4"/>
  <c r="G11" i="5"/>
  <c r="G14" i="5"/>
  <c r="G24" i="5"/>
  <c r="G8" i="5"/>
  <c r="F26" i="1"/>
  <c r="F29" i="1" s="1"/>
  <c r="F26" i="4"/>
  <c r="F49" i="4"/>
  <c r="F52" i="4"/>
  <c r="F55" i="4"/>
  <c r="G27" i="5"/>
  <c r="G50" i="5"/>
  <c r="G63" i="5"/>
  <c r="G74" i="5"/>
  <c r="G17" i="5"/>
  <c r="F36" i="4"/>
  <c r="G52" i="5"/>
  <c r="G56" i="5"/>
  <c r="G76" i="5"/>
  <c r="F42" i="4"/>
  <c r="G65" i="5"/>
  <c r="H35" i="4"/>
  <c r="G43" i="4"/>
  <c r="G63" i="26"/>
  <c r="G26" i="31"/>
  <c r="G27" i="31" s="1"/>
  <c r="G5" i="34"/>
  <c r="H22" i="4"/>
  <c r="N35" i="4"/>
  <c r="W7" i="2"/>
  <c r="W8" i="2" s="1"/>
  <c r="V8" i="2"/>
  <c r="W10" i="2" s="1"/>
  <c r="G7" i="2"/>
  <c r="G8" i="2" s="1"/>
  <c r="F8" i="2"/>
  <c r="G10" i="2"/>
  <c r="K48" i="4"/>
  <c r="J150" i="5"/>
  <c r="J14" i="9"/>
  <c r="I15" i="9"/>
  <c r="M6" i="4"/>
  <c r="J7" i="5"/>
  <c r="I13" i="5"/>
  <c r="J13" i="5" s="1"/>
  <c r="L119" i="5"/>
  <c r="F29" i="5"/>
  <c r="F93" i="5" s="1"/>
  <c r="G39" i="10" s="1"/>
  <c r="G46" i="9"/>
  <c r="G32" i="19"/>
  <c r="J153" i="5"/>
  <c r="F26" i="31"/>
  <c r="F5" i="34"/>
  <c r="G62" i="23"/>
  <c r="H42" i="9"/>
  <c r="I41" i="9"/>
  <c r="E70" i="4"/>
  <c r="F83" i="5" s="1"/>
  <c r="F92" i="5"/>
  <c r="G29" i="19"/>
  <c r="G66" i="5"/>
  <c r="G53" i="5"/>
  <c r="H63" i="5"/>
  <c r="H8" i="5"/>
  <c r="G23" i="4"/>
  <c r="F31" i="4"/>
  <c r="F39" i="1"/>
  <c r="G27" i="1"/>
  <c r="F49" i="1"/>
  <c r="K153" i="5"/>
  <c r="K7" i="5"/>
  <c r="N6" i="4"/>
  <c r="L48" i="4"/>
  <c r="I22" i="4"/>
  <c r="H56" i="5"/>
  <c r="G57" i="5"/>
  <c r="H74" i="5"/>
  <c r="G75" i="5"/>
  <c r="F38" i="1"/>
  <c r="G26" i="1"/>
  <c r="F48" i="1"/>
  <c r="F47" i="1"/>
  <c r="H11" i="5"/>
  <c r="G55" i="5"/>
  <c r="H54" i="5"/>
  <c r="G33" i="1"/>
  <c r="F44" i="1"/>
  <c r="F54" i="1"/>
  <c r="G31" i="1"/>
  <c r="F42" i="1"/>
  <c r="F51" i="1"/>
  <c r="F59" i="1" s="1"/>
  <c r="F52" i="1"/>
  <c r="F34" i="1"/>
  <c r="H41" i="10" s="1"/>
  <c r="G52" i="4"/>
  <c r="G39" i="4"/>
  <c r="G13" i="4"/>
  <c r="G55" i="4"/>
  <c r="F9" i="2"/>
  <c r="G9" i="2" s="1"/>
  <c r="H9" i="2" s="1"/>
  <c r="I9" i="2" s="1"/>
  <c r="H46" i="9"/>
  <c r="H32" i="19"/>
  <c r="J15" i="9"/>
  <c r="K14" i="9"/>
  <c r="O35" i="4"/>
  <c r="H76" i="5"/>
  <c r="G77" i="5"/>
  <c r="H17" i="5"/>
  <c r="H27" i="5"/>
  <c r="G46" i="5"/>
  <c r="H14" i="5"/>
  <c r="G73" i="5"/>
  <c r="G78" i="5"/>
  <c r="H72" i="5"/>
  <c r="G7" i="4"/>
  <c r="F18" i="4"/>
  <c r="J41" i="9"/>
  <c r="I42" i="9"/>
  <c r="M119" i="5"/>
  <c r="K150" i="5"/>
  <c r="G36" i="4"/>
  <c r="F44" i="4"/>
  <c r="G51" i="5"/>
  <c r="G59" i="5" s="1"/>
  <c r="H50" i="5"/>
  <c r="G58" i="5"/>
  <c r="G49" i="4"/>
  <c r="F57" i="4"/>
  <c r="G44" i="5"/>
  <c r="H24" i="5"/>
  <c r="G28" i="5"/>
  <c r="G32" i="1"/>
  <c r="F43" i="1"/>
  <c r="F53" i="1"/>
  <c r="G28" i="1"/>
  <c r="F40" i="1"/>
  <c r="F50" i="1"/>
  <c r="G26" i="4"/>
  <c r="G29" i="4"/>
  <c r="G42" i="4"/>
  <c r="G16" i="4"/>
  <c r="G10" i="4"/>
  <c r="H29" i="19"/>
  <c r="G43" i="1"/>
  <c r="G53" i="1"/>
  <c r="F67" i="4"/>
  <c r="F84" i="4"/>
  <c r="L150" i="5"/>
  <c r="G38" i="1"/>
  <c r="G47" i="1"/>
  <c r="G48" i="1"/>
  <c r="J22" i="4"/>
  <c r="L7" i="5"/>
  <c r="L153" i="5"/>
  <c r="F78" i="4"/>
  <c r="F65" i="4"/>
  <c r="G9" i="7" s="1"/>
  <c r="O26" i="5"/>
  <c r="G45" i="5"/>
  <c r="G115" i="5"/>
  <c r="G143" i="5"/>
  <c r="H51" i="5"/>
  <c r="F61" i="4"/>
  <c r="F75" i="4"/>
  <c r="F64" i="4"/>
  <c r="G7" i="7"/>
  <c r="H46" i="5"/>
  <c r="H77" i="5"/>
  <c r="H75" i="5"/>
  <c r="M16" i="5"/>
  <c r="G79" i="5"/>
  <c r="G14" i="7" s="1"/>
  <c r="G148" i="5"/>
  <c r="G120" i="5"/>
  <c r="G44" i="4"/>
  <c r="N119" i="5"/>
  <c r="K41" i="9"/>
  <c r="J42" i="9"/>
  <c r="G126" i="5"/>
  <c r="G154" i="5"/>
  <c r="G47" i="5"/>
  <c r="G144" i="5"/>
  <c r="G116" i="5"/>
  <c r="I46" i="9"/>
  <c r="G42" i="1"/>
  <c r="G52" i="1"/>
  <c r="G34" i="1"/>
  <c r="I41" i="10" s="1"/>
  <c r="G51" i="1"/>
  <c r="G59" i="1" s="1"/>
  <c r="H55" i="5"/>
  <c r="F58" i="1"/>
  <c r="F55" i="1"/>
  <c r="O6" i="4"/>
  <c r="G39" i="1"/>
  <c r="G49" i="1"/>
  <c r="H18" i="5"/>
  <c r="H19" i="5" s="1"/>
  <c r="H35" i="5"/>
  <c r="H36" i="5" s="1"/>
  <c r="H64" i="5"/>
  <c r="G40" i="1"/>
  <c r="G50" i="1"/>
  <c r="G29" i="5"/>
  <c r="G93" i="5" s="1"/>
  <c r="H39" i="10" s="1"/>
  <c r="F81" i="4"/>
  <c r="F66" i="4"/>
  <c r="H73" i="5"/>
  <c r="H78" i="5"/>
  <c r="H154" i="5" s="1"/>
  <c r="H39" i="5"/>
  <c r="H41" i="5"/>
  <c r="P35" i="4"/>
  <c r="L14" i="9"/>
  <c r="K15" i="9"/>
  <c r="G44" i="1"/>
  <c r="G54" i="1"/>
  <c r="H37" i="5"/>
  <c r="H57" i="5"/>
  <c r="M48" i="4"/>
  <c r="N48" i="4" s="1"/>
  <c r="O48" i="4" s="1"/>
  <c r="P48" i="4" s="1"/>
  <c r="G31" i="4"/>
  <c r="M10" i="5"/>
  <c r="I29" i="19"/>
  <c r="C30" i="21" s="1"/>
  <c r="C31" i="21" s="1"/>
  <c r="N10" i="5"/>
  <c r="G8" i="7"/>
  <c r="M14" i="9"/>
  <c r="L15" i="9"/>
  <c r="H126" i="5"/>
  <c r="N16" i="5"/>
  <c r="P26" i="5"/>
  <c r="M7" i="5"/>
  <c r="G58" i="1"/>
  <c r="G117" i="5"/>
  <c r="G78" i="4"/>
  <c r="H40" i="5"/>
  <c r="H109" i="5"/>
  <c r="H137" i="5"/>
  <c r="H38" i="5"/>
  <c r="H108" i="5"/>
  <c r="H136" i="5"/>
  <c r="Q35" i="4"/>
  <c r="H42" i="5"/>
  <c r="H110" i="5"/>
  <c r="J46" i="9"/>
  <c r="L41" i="9"/>
  <c r="K42" i="9"/>
  <c r="O119" i="5"/>
  <c r="G7" i="18"/>
  <c r="P6" i="4"/>
  <c r="F75" i="1"/>
  <c r="F83" i="1"/>
  <c r="H47" i="5"/>
  <c r="H116" i="5"/>
  <c r="H144" i="5"/>
  <c r="M153" i="5"/>
  <c r="K22" i="4"/>
  <c r="M150" i="5"/>
  <c r="N150" i="5" s="1"/>
  <c r="G145" i="5"/>
  <c r="F85" i="4"/>
  <c r="E18" i="8" s="1"/>
  <c r="L22" i="4"/>
  <c r="K46" i="9"/>
  <c r="N7" i="5"/>
  <c r="N153" i="5"/>
  <c r="G75" i="1"/>
  <c r="G83" i="1"/>
  <c r="Q26" i="5"/>
  <c r="N14" i="9"/>
  <c r="N15" i="9" s="1"/>
  <c r="M15" i="9"/>
  <c r="L42" i="9"/>
  <c r="M41" i="9"/>
  <c r="M42" i="9" s="1"/>
  <c r="Q6" i="4"/>
  <c r="R6" i="4" s="1"/>
  <c r="P119" i="5"/>
  <c r="R35" i="4"/>
  <c r="O147" i="5"/>
  <c r="O16" i="5"/>
  <c r="O10" i="5"/>
  <c r="P147" i="5"/>
  <c r="Q147" i="5" s="1"/>
  <c r="R147" i="5" s="1"/>
  <c r="S147" i="5" s="1"/>
  <c r="T147" i="5" s="1"/>
  <c r="U147" i="5" s="1"/>
  <c r="V147" i="5" s="1"/>
  <c r="W147" i="5" s="1"/>
  <c r="X147" i="5" s="1"/>
  <c r="Y147" i="5" s="1"/>
  <c r="Q119" i="5"/>
  <c r="R119" i="5" s="1"/>
  <c r="S119" i="5" s="1"/>
  <c r="T119" i="5" s="1"/>
  <c r="U119" i="5" s="1"/>
  <c r="V119" i="5" s="1"/>
  <c r="W119" i="5" s="1"/>
  <c r="X119" i="5" s="1"/>
  <c r="Y119" i="5" s="1"/>
  <c r="M22" i="4"/>
  <c r="O14" i="9"/>
  <c r="P16" i="5"/>
  <c r="S35" i="4"/>
  <c r="N41" i="9"/>
  <c r="O41" i="9" s="1"/>
  <c r="O153" i="5"/>
  <c r="P10" i="5"/>
  <c r="Q10" i="5" s="1"/>
  <c r="R10" i="5" s="1"/>
  <c r="R26" i="5"/>
  <c r="S26" i="5" s="1"/>
  <c r="T26" i="5" s="1"/>
  <c r="U26" i="5" s="1"/>
  <c r="V26" i="5" s="1"/>
  <c r="W26" i="5" s="1"/>
  <c r="X26" i="5" s="1"/>
  <c r="Y26" i="5" s="1"/>
  <c r="O150" i="5"/>
  <c r="P150" i="5" s="1"/>
  <c r="Q150" i="5" s="1"/>
  <c r="R150" i="5" s="1"/>
  <c r="S150" i="5" s="1"/>
  <c r="T150" i="5" s="1"/>
  <c r="U150" i="5" s="1"/>
  <c r="V150" i="5" s="1"/>
  <c r="W150" i="5" s="1"/>
  <c r="X150" i="5" s="1"/>
  <c r="Y150" i="5" s="1"/>
  <c r="O7" i="5"/>
  <c r="L46" i="9"/>
  <c r="M46" i="9" s="1"/>
  <c r="P153" i="5"/>
  <c r="P14" i="9"/>
  <c r="Q14" i="9" s="1"/>
  <c r="O15" i="9"/>
  <c r="Q16" i="5"/>
  <c r="R16" i="5" s="1"/>
  <c r="S16" i="5" s="1"/>
  <c r="T16" i="5" s="1"/>
  <c r="U16" i="5" s="1"/>
  <c r="V16" i="5" s="1"/>
  <c r="W16" i="5" s="1"/>
  <c r="X16" i="5" s="1"/>
  <c r="Y16" i="5" s="1"/>
  <c r="P7" i="5"/>
  <c r="N22" i="4"/>
  <c r="T35" i="4"/>
  <c r="Q48" i="4"/>
  <c r="R48" i="4" s="1"/>
  <c r="S48" i="4" s="1"/>
  <c r="T48" i="4" s="1"/>
  <c r="U48" i="4" s="1"/>
  <c r="V48" i="4" s="1"/>
  <c r="W48" i="4" s="1"/>
  <c r="X48" i="4" s="1"/>
  <c r="S6" i="4"/>
  <c r="T6" i="4" s="1"/>
  <c r="U6" i="4" s="1"/>
  <c r="V6" i="4" s="1"/>
  <c r="W6" i="4" s="1"/>
  <c r="X6" i="4" s="1"/>
  <c r="Q7" i="5"/>
  <c r="R7" i="5" s="1"/>
  <c r="S7" i="5" s="1"/>
  <c r="T7" i="5" s="1"/>
  <c r="U7" i="5" s="1"/>
  <c r="V7" i="5" s="1"/>
  <c r="W7" i="5" s="1"/>
  <c r="X7" i="5" s="1"/>
  <c r="Y7" i="5" s="1"/>
  <c r="P15" i="9"/>
  <c r="Q153" i="5"/>
  <c r="R153" i="5" s="1"/>
  <c r="N46" i="9"/>
  <c r="U35" i="4"/>
  <c r="V35" i="4" s="1"/>
  <c r="W35" i="4" s="1"/>
  <c r="X35" i="4" s="1"/>
  <c r="O22" i="4"/>
  <c r="P22" i="4" s="1"/>
  <c r="Q22" i="4" s="1"/>
  <c r="R22" i="4" s="1"/>
  <c r="S22" i="4" s="1"/>
  <c r="T22" i="4" s="1"/>
  <c r="U22" i="4" s="1"/>
  <c r="V22" i="4" s="1"/>
  <c r="W22" i="4" s="1"/>
  <c r="X22" i="4" s="1"/>
  <c r="S10" i="5"/>
  <c r="T10" i="5" s="1"/>
  <c r="U10" i="5" s="1"/>
  <c r="V10" i="5" s="1"/>
  <c r="W10" i="5" s="1"/>
  <c r="S153" i="5"/>
  <c r="T153" i="5" s="1"/>
  <c r="U153" i="5" s="1"/>
  <c r="V153" i="5" s="1"/>
  <c r="W153" i="5" s="1"/>
  <c r="X153" i="5" s="1"/>
  <c r="Y153" i="5" s="1"/>
  <c r="C27" i="31"/>
  <c r="F86" i="5"/>
  <c r="F95" i="5"/>
  <c r="F13" i="7"/>
  <c r="W26" i="18"/>
  <c r="V21" i="19"/>
  <c r="U21" i="19"/>
  <c r="F24" i="21"/>
  <c r="G24" i="26" s="1"/>
  <c r="R21" i="19"/>
  <c r="Q21" i="19"/>
  <c r="E24" i="21" s="1"/>
  <c r="M21" i="19"/>
  <c r="D24" i="21" s="1"/>
  <c r="F21" i="19"/>
  <c r="E51" i="1"/>
  <c r="E59" i="1" s="1"/>
  <c r="G29" i="1"/>
  <c r="I36" i="10" s="1"/>
  <c r="E66" i="21"/>
  <c r="E63" i="26" s="1"/>
  <c r="E5" i="34"/>
  <c r="H84" i="5"/>
  <c r="I34" i="10" s="1"/>
  <c r="F84" i="5"/>
  <c r="G34" i="10" s="1"/>
  <c r="E47" i="1"/>
  <c r="F33" i="5"/>
  <c r="F32" i="5"/>
  <c r="E55" i="1"/>
  <c r="E58" i="1"/>
  <c r="E75" i="1" s="1"/>
  <c r="E76" i="1" l="1"/>
  <c r="E84" i="1"/>
  <c r="Q15" i="9"/>
  <c r="R14" i="9"/>
  <c r="P41" i="9"/>
  <c r="Q41" i="9" s="1"/>
  <c r="O42" i="9"/>
  <c r="N42" i="9"/>
  <c r="I58" i="9"/>
  <c r="I32" i="19"/>
  <c r="C34" i="21" s="1"/>
  <c r="D33" i="23" s="1"/>
  <c r="I53" i="9"/>
  <c r="H54" i="9"/>
  <c r="L22" i="1"/>
  <c r="S33" i="10"/>
  <c r="Q64" i="1"/>
  <c r="Q22" i="1"/>
  <c r="M64" i="1"/>
  <c r="O33" i="10"/>
  <c r="M22" i="1"/>
  <c r="J8" i="2"/>
  <c r="K10" i="2" s="1"/>
  <c r="K7" i="2"/>
  <c r="K8" i="2" s="1"/>
  <c r="I134" i="5"/>
  <c r="J134" i="5" s="1"/>
  <c r="K134" i="5" s="1"/>
  <c r="L134" i="5" s="1"/>
  <c r="M134" i="5" s="1"/>
  <c r="N134" i="5" s="1"/>
  <c r="O134" i="5" s="1"/>
  <c r="P134" i="5" s="1"/>
  <c r="Q134" i="5" s="1"/>
  <c r="R134" i="5" s="1"/>
  <c r="S134" i="5" s="1"/>
  <c r="T134" i="5" s="1"/>
  <c r="U134" i="5" s="1"/>
  <c r="V134" i="5" s="1"/>
  <c r="W134" i="5" s="1"/>
  <c r="X134" i="5" s="1"/>
  <c r="Y134" i="5" s="1"/>
  <c r="H138" i="5"/>
  <c r="H80" i="4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G81" i="4"/>
  <c r="L65" i="1"/>
  <c r="N38" i="10"/>
  <c r="H65" i="1"/>
  <c r="H22" i="1"/>
  <c r="J38" i="10"/>
  <c r="X22" i="1"/>
  <c r="Z33" i="10"/>
  <c r="X64" i="1"/>
  <c r="T64" i="1"/>
  <c r="T22" i="1"/>
  <c r="V33" i="10"/>
  <c r="E36" i="9"/>
  <c r="F32" i="9"/>
  <c r="F34" i="9" s="1"/>
  <c r="F35" i="9" s="1"/>
  <c r="I23" i="5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H44" i="5"/>
  <c r="H28" i="5"/>
  <c r="H29" i="5" s="1"/>
  <c r="H93" i="5" s="1"/>
  <c r="S65" i="1"/>
  <c r="U38" i="10"/>
  <c r="O22" i="1"/>
  <c r="O65" i="1"/>
  <c r="Q38" i="10"/>
  <c r="S7" i="2"/>
  <c r="S8" i="2" s="1"/>
  <c r="T10" i="2" s="1"/>
  <c r="R8" i="2"/>
  <c r="S10" i="2" s="1"/>
  <c r="U23" i="18"/>
  <c r="I103" i="5"/>
  <c r="H107" i="5"/>
  <c r="H111" i="5" s="1"/>
  <c r="O7" i="2"/>
  <c r="O8" i="2" s="1"/>
  <c r="N8" i="2"/>
  <c r="G66" i="4"/>
  <c r="J9" i="2"/>
  <c r="K9" i="2" s="1"/>
  <c r="L9" i="2" s="1"/>
  <c r="M9" i="2" s="1"/>
  <c r="E59" i="9"/>
  <c r="E61" i="9" s="1"/>
  <c r="E62" i="9" s="1"/>
  <c r="D19" i="8" s="1"/>
  <c r="G26" i="9"/>
  <c r="S86" i="6"/>
  <c r="K86" i="6"/>
  <c r="S70" i="6"/>
  <c r="V54" i="6"/>
  <c r="N54" i="6"/>
  <c r="K12" i="6"/>
  <c r="F154" i="5"/>
  <c r="F136" i="5"/>
  <c r="F139" i="5" s="1"/>
  <c r="F116" i="5"/>
  <c r="F117" i="5" s="1"/>
  <c r="F108" i="5"/>
  <c r="Q13" i="1"/>
  <c r="M13" i="1"/>
  <c r="E13" i="1"/>
  <c r="Y112" i="6"/>
  <c r="U112" i="6"/>
  <c r="M112" i="6"/>
  <c r="I112" i="6"/>
  <c r="W12" i="6"/>
  <c r="W39" i="6" s="1"/>
  <c r="Y23" i="18"/>
  <c r="R38" i="6"/>
  <c r="Q23" i="18" s="1"/>
  <c r="F144" i="5"/>
  <c r="F145" i="5" s="1"/>
  <c r="G65" i="1"/>
  <c r="S64" i="1"/>
  <c r="G65" i="4"/>
  <c r="G24" i="23"/>
  <c r="P21" i="19"/>
  <c r="L21" i="19"/>
  <c r="W86" i="6"/>
  <c r="O86" i="6"/>
  <c r="G86" i="6"/>
  <c r="K70" i="6"/>
  <c r="Z54" i="6"/>
  <c r="R54" i="6"/>
  <c r="J54" i="6"/>
  <c r="K28" i="6"/>
  <c r="X38" i="6"/>
  <c r="W23" i="18" s="1"/>
  <c r="S12" i="6"/>
  <c r="S39" i="6" s="1"/>
  <c r="Y38" i="6"/>
  <c r="Q38" i="6"/>
  <c r="P23" i="18" s="1"/>
  <c r="F151" i="5"/>
  <c r="F138" i="5"/>
  <c r="H23" i="18"/>
  <c r="G87" i="6"/>
  <c r="W112" i="6"/>
  <c r="V23" i="18" s="1"/>
  <c r="S112" i="6"/>
  <c r="R23" i="18" s="1"/>
  <c r="O112" i="6"/>
  <c r="N23" i="18" s="1"/>
  <c r="K112" i="6"/>
  <c r="J23" i="18" s="1"/>
  <c r="G112" i="6"/>
  <c r="F23" i="18" s="1"/>
  <c r="O23" i="18"/>
  <c r="T38" i="6"/>
  <c r="S23" i="18" s="1"/>
  <c r="G23" i="18"/>
  <c r="E60" i="4"/>
  <c r="F20" i="1"/>
  <c r="F6" i="7"/>
  <c r="F6" i="18"/>
  <c r="E62" i="23"/>
  <c r="F62" i="23"/>
  <c r="F63" i="26"/>
  <c r="G23" i="23"/>
  <c r="E26" i="31"/>
  <c r="E27" i="31" s="1"/>
  <c r="O46" i="9"/>
  <c r="P42" i="9"/>
  <c r="J29" i="19"/>
  <c r="J31" i="9"/>
  <c r="E51" i="9"/>
  <c r="E24" i="9"/>
  <c r="E37" i="9" s="1"/>
  <c r="E70" i="9" s="1"/>
  <c r="E75" i="9" s="1"/>
  <c r="F20" i="9"/>
  <c r="F22" i="9" s="1"/>
  <c r="F23" i="9" s="1"/>
  <c r="J58" i="9"/>
  <c r="J32" i="19"/>
  <c r="F36" i="9"/>
  <c r="E77" i="1"/>
  <c r="D11" i="8" s="1"/>
  <c r="F84" i="1"/>
  <c r="F60" i="1"/>
  <c r="F76" i="1"/>
  <c r="H10" i="2"/>
  <c r="H42" i="4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H16" i="4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H10" i="4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H32" i="1"/>
  <c r="H7" i="4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H26" i="1"/>
  <c r="I50" i="5"/>
  <c r="I51" i="5" s="1"/>
  <c r="I27" i="5"/>
  <c r="I24" i="5"/>
  <c r="I44" i="5" s="1"/>
  <c r="H36" i="4"/>
  <c r="I54" i="5"/>
  <c r="H27" i="1"/>
  <c r="H49" i="4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V49" i="4" s="1"/>
  <c r="W49" i="4" s="1"/>
  <c r="X49" i="4" s="1"/>
  <c r="I14" i="5"/>
  <c r="I17" i="5"/>
  <c r="I11" i="5"/>
  <c r="I76" i="5"/>
  <c r="I74" i="5"/>
  <c r="H31" i="1"/>
  <c r="I8" i="5"/>
  <c r="I63" i="5"/>
  <c r="H28" i="1"/>
  <c r="H50" i="1" s="1"/>
  <c r="I72" i="5"/>
  <c r="H33" i="1"/>
  <c r="I56" i="5"/>
  <c r="H23" i="4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P10" i="2"/>
  <c r="F85" i="1"/>
  <c r="E17" i="8" s="1"/>
  <c r="F77" i="1"/>
  <c r="E11" i="8" s="1"/>
  <c r="H26" i="4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H55" i="4"/>
  <c r="I55" i="4" s="1"/>
  <c r="J55" i="4" s="1"/>
  <c r="K55" i="4" s="1"/>
  <c r="L55" i="4" s="1"/>
  <c r="M55" i="4" s="1"/>
  <c r="N55" i="4" s="1"/>
  <c r="H39" i="4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T23" i="18"/>
  <c r="X23" i="18"/>
  <c r="H29" i="4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H13" i="4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H52" i="4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W52" i="4" s="1"/>
  <c r="X52" i="4" s="1"/>
  <c r="H65" i="5"/>
  <c r="H52" i="5"/>
  <c r="H58" i="5" s="1"/>
  <c r="G67" i="5"/>
  <c r="G8" i="18" s="1"/>
  <c r="G9" i="9"/>
  <c r="F69" i="9"/>
  <c r="H87" i="6"/>
  <c r="H88" i="6" s="1"/>
  <c r="G88" i="6"/>
  <c r="L23" i="18"/>
  <c r="I23" i="18"/>
  <c r="K21" i="19"/>
  <c r="G25" i="26"/>
  <c r="E69" i="9"/>
  <c r="E71" i="9" s="1"/>
  <c r="F42" i="9"/>
  <c r="F47" i="9" s="1"/>
  <c r="F49" i="9" s="1"/>
  <c r="F50" i="9" s="1"/>
  <c r="G103" i="6"/>
  <c r="H103" i="6" s="1"/>
  <c r="Y70" i="6"/>
  <c r="U70" i="6"/>
  <c r="Q70" i="6"/>
  <c r="M70" i="6"/>
  <c r="I70" i="6"/>
  <c r="Y28" i="6"/>
  <c r="U28" i="6"/>
  <c r="Q28" i="6"/>
  <c r="M28" i="6"/>
  <c r="I28" i="6"/>
  <c r="Y12" i="6"/>
  <c r="U12" i="6"/>
  <c r="U39" i="6" s="1"/>
  <c r="Q12" i="6"/>
  <c r="M12" i="6"/>
  <c r="I12" i="6"/>
  <c r="F109" i="5"/>
  <c r="F79" i="5"/>
  <c r="E84" i="4"/>
  <c r="E85" i="4" s="1"/>
  <c r="D18" i="8" s="1"/>
  <c r="E60" i="1"/>
  <c r="E83" i="1"/>
  <c r="E85" i="1" s="1"/>
  <c r="D17" i="8" s="1"/>
  <c r="X10" i="5"/>
  <c r="I87" i="6"/>
  <c r="H89" i="6"/>
  <c r="H90" i="6" s="1"/>
  <c r="G55" i="6"/>
  <c r="G113" i="6"/>
  <c r="H54" i="4"/>
  <c r="I54" i="4" s="1"/>
  <c r="I57" i="4" s="1"/>
  <c r="G57" i="4"/>
  <c r="G84" i="1"/>
  <c r="G85" i="1" s="1"/>
  <c r="F17" i="8" s="1"/>
  <c r="G60" i="1"/>
  <c r="G76" i="1"/>
  <c r="G77" i="1" s="1"/>
  <c r="F11" i="8" s="1"/>
  <c r="K13" i="5"/>
  <c r="H66" i="5"/>
  <c r="H68" i="5" s="1"/>
  <c r="H67" i="5"/>
  <c r="H13" i="7" s="1"/>
  <c r="I65" i="5"/>
  <c r="I52" i="5"/>
  <c r="H53" i="5"/>
  <c r="H59" i="5" s="1"/>
  <c r="G151" i="5"/>
  <c r="G123" i="5"/>
  <c r="H113" i="6"/>
  <c r="H135" i="5"/>
  <c r="H139" i="5" s="1"/>
  <c r="G55" i="1"/>
  <c r="F68" i="4"/>
  <c r="H34" i="1"/>
  <c r="J41" i="10" s="1"/>
  <c r="H51" i="1"/>
  <c r="H39" i="1"/>
  <c r="H79" i="5"/>
  <c r="G85" i="5"/>
  <c r="G64" i="5"/>
  <c r="G68" i="5" s="1"/>
  <c r="G95" i="5" s="1"/>
  <c r="X102" i="6"/>
  <c r="V102" i="6"/>
  <c r="T102" i="6"/>
  <c r="R102" i="6"/>
  <c r="Q102" i="6"/>
  <c r="O102" i="6"/>
  <c r="M102" i="6"/>
  <c r="K102" i="6"/>
  <c r="G89" i="6"/>
  <c r="G90" i="6" s="1"/>
  <c r="Z86" i="6"/>
  <c r="X86" i="6"/>
  <c r="V86" i="6"/>
  <c r="T86" i="6"/>
  <c r="R86" i="6"/>
  <c r="P86" i="6"/>
  <c r="N86" i="6"/>
  <c r="L86" i="6"/>
  <c r="J86" i="6"/>
  <c r="Z70" i="6"/>
  <c r="X70" i="6"/>
  <c r="V70" i="6"/>
  <c r="T70" i="6"/>
  <c r="R70" i="6"/>
  <c r="P70" i="6"/>
  <c r="N70" i="6"/>
  <c r="L70" i="6"/>
  <c r="J70" i="6"/>
  <c r="Y54" i="6"/>
  <c r="Y113" i="6" s="1"/>
  <c r="W54" i="6"/>
  <c r="W113" i="6" s="1"/>
  <c r="U54" i="6"/>
  <c r="S54" i="6"/>
  <c r="S113" i="6" s="1"/>
  <c r="Q54" i="6"/>
  <c r="Q113" i="6" s="1"/>
  <c r="O54" i="6"/>
  <c r="M54" i="6"/>
  <c r="K54" i="6"/>
  <c r="I54" i="6"/>
  <c r="I113" i="6" s="1"/>
  <c r="Z28" i="6"/>
  <c r="X28" i="6"/>
  <c r="V28" i="6"/>
  <c r="T28" i="6"/>
  <c r="R28" i="6"/>
  <c r="P28" i="6"/>
  <c r="N28" i="6"/>
  <c r="L28" i="6"/>
  <c r="J28" i="6"/>
  <c r="Z12" i="6"/>
  <c r="X12" i="6"/>
  <c r="V12" i="6"/>
  <c r="V39" i="6" s="1"/>
  <c r="T12" i="6"/>
  <c r="R12" i="6"/>
  <c r="P12" i="6"/>
  <c r="N12" i="6"/>
  <c r="N39" i="6" s="1"/>
  <c r="L12" i="6"/>
  <c r="J12" i="6"/>
  <c r="H12" i="6"/>
  <c r="H39" i="6" s="1"/>
  <c r="F111" i="5"/>
  <c r="F127" i="5" s="1"/>
  <c r="D12" i="8" s="1"/>
  <c r="F59" i="5"/>
  <c r="F56" i="4"/>
  <c r="H87" i="5"/>
  <c r="H71" i="6"/>
  <c r="F23" i="23"/>
  <c r="F24" i="26"/>
  <c r="E24" i="26"/>
  <c r="D24" i="26"/>
  <c r="D23" i="23"/>
  <c r="E23" i="23"/>
  <c r="I39" i="10"/>
  <c r="H96" i="5"/>
  <c r="G91" i="6"/>
  <c r="H55" i="6"/>
  <c r="G56" i="6"/>
  <c r="G57" i="6"/>
  <c r="F94" i="5"/>
  <c r="F85" i="5"/>
  <c r="F9" i="7"/>
  <c r="J54" i="4"/>
  <c r="H51" i="4"/>
  <c r="G56" i="4"/>
  <c r="I25" i="4"/>
  <c r="H15" i="4"/>
  <c r="G17" i="4"/>
  <c r="G18" i="4"/>
  <c r="G87" i="5"/>
  <c r="E24" i="23"/>
  <c r="F24" i="23"/>
  <c r="E25" i="26"/>
  <c r="H72" i="6"/>
  <c r="I71" i="6"/>
  <c r="H73" i="6"/>
  <c r="H29" i="6"/>
  <c r="G31" i="6"/>
  <c r="G30" i="6"/>
  <c r="G39" i="6"/>
  <c r="F11" i="18" s="1"/>
  <c r="G13" i="6"/>
  <c r="L50" i="5"/>
  <c r="K51" i="5"/>
  <c r="I38" i="4"/>
  <c r="H43" i="4"/>
  <c r="H28" i="4"/>
  <c r="G30" i="4"/>
  <c r="G105" i="6"/>
  <c r="J51" i="5"/>
  <c r="F17" i="4"/>
  <c r="G73" i="6"/>
  <c r="H105" i="6" l="1"/>
  <c r="I103" i="6"/>
  <c r="H104" i="6"/>
  <c r="F60" i="4"/>
  <c r="H31" i="4"/>
  <c r="AA12" i="6"/>
  <c r="AB12" i="6" s="1"/>
  <c r="I56" i="4"/>
  <c r="H91" i="6"/>
  <c r="J39" i="6"/>
  <c r="R39" i="6"/>
  <c r="U113" i="6"/>
  <c r="G104" i="6"/>
  <c r="I39" i="6"/>
  <c r="Y39" i="6"/>
  <c r="O55" i="4"/>
  <c r="P55" i="4" s="1"/>
  <c r="Q55" i="4" s="1"/>
  <c r="R55" i="4" s="1"/>
  <c r="S55" i="4" s="1"/>
  <c r="T55" i="4" s="1"/>
  <c r="U55" i="4" s="1"/>
  <c r="V55" i="4" s="1"/>
  <c r="W55" i="4" s="1"/>
  <c r="X55" i="4" s="1"/>
  <c r="F22" i="1"/>
  <c r="G37" i="5"/>
  <c r="G94" i="5"/>
  <c r="G96" i="5"/>
  <c r="H33" i="10"/>
  <c r="G18" i="5"/>
  <c r="G19" i="5" s="1"/>
  <c r="G41" i="5"/>
  <c r="G39" i="5"/>
  <c r="G35" i="5"/>
  <c r="F64" i="1"/>
  <c r="K39" i="6"/>
  <c r="L10" i="2"/>
  <c r="M72" i="5"/>
  <c r="R15" i="9"/>
  <c r="S14" i="9"/>
  <c r="G114" i="6"/>
  <c r="M39" i="6"/>
  <c r="AA112" i="6"/>
  <c r="AB112" i="6" s="1"/>
  <c r="N9" i="2"/>
  <c r="O9" i="2" s="1"/>
  <c r="P9" i="2" s="1"/>
  <c r="Q9" i="2" s="1"/>
  <c r="R9" i="2" s="1"/>
  <c r="S9" i="2" s="1"/>
  <c r="T9" i="2" s="1"/>
  <c r="U9" i="2" s="1"/>
  <c r="V9" i="2" s="1"/>
  <c r="W9" i="2" s="1"/>
  <c r="H115" i="5"/>
  <c r="H117" i="5" s="1"/>
  <c r="H143" i="5"/>
  <c r="H145" i="5" s="1"/>
  <c r="H32" i="5"/>
  <c r="H45" i="5"/>
  <c r="H33" i="5" s="1"/>
  <c r="H11" i="18" s="1"/>
  <c r="H94" i="5"/>
  <c r="Q39" i="6"/>
  <c r="F155" i="5"/>
  <c r="D16" i="8" s="1"/>
  <c r="H26" i="9"/>
  <c r="G27" i="9"/>
  <c r="G32" i="9" s="1"/>
  <c r="G34" i="9" s="1"/>
  <c r="G35" i="9" s="1"/>
  <c r="I54" i="9"/>
  <c r="J53" i="9"/>
  <c r="F59" i="9"/>
  <c r="F61" i="9" s="1"/>
  <c r="F62" i="9" s="1"/>
  <c r="E63" i="9"/>
  <c r="E64" i="9" s="1"/>
  <c r="O10" i="2"/>
  <c r="P72" i="5"/>
  <c r="R41" i="9"/>
  <c r="Q42" i="9"/>
  <c r="G47" i="9"/>
  <c r="G49" i="9" s="1"/>
  <c r="G50" i="9" s="1"/>
  <c r="F51" i="9"/>
  <c r="Z39" i="6"/>
  <c r="AA28" i="6"/>
  <c r="AB28" i="6" s="1"/>
  <c r="L113" i="6"/>
  <c r="P113" i="6"/>
  <c r="T113" i="6"/>
  <c r="X113" i="6"/>
  <c r="AA86" i="6"/>
  <c r="AB86" i="6" s="1"/>
  <c r="AA102" i="6"/>
  <c r="AB102" i="6" s="1"/>
  <c r="H44" i="1"/>
  <c r="I33" i="1"/>
  <c r="H54" i="1"/>
  <c r="H40" i="1"/>
  <c r="I28" i="1"/>
  <c r="I18" i="5"/>
  <c r="J8" i="5"/>
  <c r="I35" i="5"/>
  <c r="J74" i="5"/>
  <c r="I75" i="5"/>
  <c r="I37" i="5"/>
  <c r="J11" i="5"/>
  <c r="I39" i="5"/>
  <c r="J14" i="5"/>
  <c r="I27" i="1"/>
  <c r="H49" i="1"/>
  <c r="H44" i="4"/>
  <c r="I36" i="4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I46" i="5"/>
  <c r="J27" i="5"/>
  <c r="H38" i="1"/>
  <c r="H47" i="1"/>
  <c r="H58" i="1" s="1"/>
  <c r="H48" i="1"/>
  <c r="I26" i="1"/>
  <c r="H29" i="1"/>
  <c r="J36" i="10" s="1"/>
  <c r="H43" i="1"/>
  <c r="I32" i="1"/>
  <c r="H53" i="1"/>
  <c r="F61" i="1"/>
  <c r="G5" i="18"/>
  <c r="K58" i="9"/>
  <c r="K32" i="19"/>
  <c r="F24" i="9"/>
  <c r="F37" i="9" s="1"/>
  <c r="F70" i="9" s="1"/>
  <c r="F75" i="9" s="1"/>
  <c r="G20" i="9"/>
  <c r="G22" i="9" s="1"/>
  <c r="G23" i="9" s="1"/>
  <c r="E19" i="8"/>
  <c r="K29" i="19"/>
  <c r="K31" i="9"/>
  <c r="H9" i="7"/>
  <c r="D20" i="8"/>
  <c r="D5" i="8" s="1"/>
  <c r="F33" i="19" s="1"/>
  <c r="F34" i="19" s="1"/>
  <c r="F87" i="5"/>
  <c r="F14" i="7"/>
  <c r="F96" i="5"/>
  <c r="E73" i="9"/>
  <c r="E72" i="9"/>
  <c r="H9" i="9"/>
  <c r="G69" i="9"/>
  <c r="I57" i="5"/>
  <c r="J56" i="5"/>
  <c r="I73" i="5"/>
  <c r="I78" i="5"/>
  <c r="J72" i="5"/>
  <c r="J63" i="5"/>
  <c r="I64" i="5"/>
  <c r="H52" i="1"/>
  <c r="I31" i="1"/>
  <c r="H42" i="1"/>
  <c r="I77" i="5"/>
  <c r="J76" i="5"/>
  <c r="I41" i="5"/>
  <c r="J17" i="5"/>
  <c r="I55" i="5"/>
  <c r="J54" i="5"/>
  <c r="J24" i="5"/>
  <c r="I28" i="5"/>
  <c r="I29" i="5" s="1"/>
  <c r="I93" i="5" s="1"/>
  <c r="P46" i="9"/>
  <c r="G17" i="18"/>
  <c r="F70" i="4"/>
  <c r="J52" i="5"/>
  <c r="I58" i="5"/>
  <c r="I53" i="5"/>
  <c r="I59" i="5" s="1"/>
  <c r="I66" i="5"/>
  <c r="I68" i="5" s="1"/>
  <c r="I86" i="5" s="1"/>
  <c r="I67" i="5"/>
  <c r="J65" i="5"/>
  <c r="H5" i="18"/>
  <c r="G61" i="1"/>
  <c r="H4" i="7" s="1"/>
  <c r="I84" i="4"/>
  <c r="I67" i="4"/>
  <c r="I88" i="6"/>
  <c r="J87" i="6"/>
  <c r="I89" i="6"/>
  <c r="L39" i="6"/>
  <c r="P39" i="6"/>
  <c r="T39" i="6"/>
  <c r="X39" i="6"/>
  <c r="K113" i="6"/>
  <c r="O113" i="6"/>
  <c r="J113" i="6"/>
  <c r="N113" i="6"/>
  <c r="R113" i="6"/>
  <c r="V113" i="6"/>
  <c r="Z113" i="6"/>
  <c r="M113" i="6"/>
  <c r="G13" i="7"/>
  <c r="H86" i="5"/>
  <c r="G86" i="5"/>
  <c r="H59" i="1"/>
  <c r="H55" i="1"/>
  <c r="I115" i="5"/>
  <c r="I45" i="5"/>
  <c r="I143" i="5"/>
  <c r="H85" i="5"/>
  <c r="H148" i="5"/>
  <c r="H8" i="18"/>
  <c r="H120" i="5"/>
  <c r="H123" i="5"/>
  <c r="H95" i="5"/>
  <c r="H151" i="5"/>
  <c r="L13" i="5"/>
  <c r="G84" i="4"/>
  <c r="G67" i="4"/>
  <c r="H14" i="7" s="1"/>
  <c r="Y10" i="5"/>
  <c r="F5" i="18"/>
  <c r="E61" i="1"/>
  <c r="AA70" i="6"/>
  <c r="AB70" i="6" s="1"/>
  <c r="AA54" i="6"/>
  <c r="AB54" i="6" s="1"/>
  <c r="G74" i="6"/>
  <c r="G75" i="6" s="1"/>
  <c r="G14" i="6"/>
  <c r="G40" i="6" s="1"/>
  <c r="F9" i="19" s="1"/>
  <c r="H13" i="6"/>
  <c r="G15" i="6"/>
  <c r="G32" i="6"/>
  <c r="G33" i="6" s="1"/>
  <c r="H75" i="6"/>
  <c r="H74" i="6"/>
  <c r="G61" i="4"/>
  <c r="G75" i="4"/>
  <c r="G64" i="4"/>
  <c r="H7" i="7"/>
  <c r="H17" i="4"/>
  <c r="I15" i="4"/>
  <c r="H18" i="4"/>
  <c r="I30" i="4"/>
  <c r="J25" i="4"/>
  <c r="I31" i="4"/>
  <c r="H56" i="4"/>
  <c r="H57" i="4"/>
  <c r="G58" i="6"/>
  <c r="G59" i="6" s="1"/>
  <c r="G115" i="6"/>
  <c r="I55" i="6"/>
  <c r="H56" i="6"/>
  <c r="H114" i="6" s="1"/>
  <c r="H57" i="6"/>
  <c r="G92" i="6"/>
  <c r="H106" i="6"/>
  <c r="G106" i="6"/>
  <c r="G107" i="6"/>
  <c r="H78" i="4"/>
  <c r="H65" i="4"/>
  <c r="I9" i="7" s="1"/>
  <c r="C55" i="21" s="1"/>
  <c r="I43" i="4"/>
  <c r="J38" i="4"/>
  <c r="I44" i="4"/>
  <c r="L51" i="5"/>
  <c r="M50" i="5"/>
  <c r="H30" i="6"/>
  <c r="I29" i="6"/>
  <c r="H31" i="6"/>
  <c r="I72" i="6"/>
  <c r="J71" i="6"/>
  <c r="I73" i="6"/>
  <c r="K54" i="4"/>
  <c r="J56" i="4"/>
  <c r="J57" i="4"/>
  <c r="I105" i="6"/>
  <c r="I104" i="6"/>
  <c r="J103" i="6"/>
  <c r="G60" i="4"/>
  <c r="H30" i="4"/>
  <c r="G36" i="9" l="1"/>
  <c r="H155" i="5"/>
  <c r="F16" i="8" s="1"/>
  <c r="AA113" i="6"/>
  <c r="AB113" i="6" s="1"/>
  <c r="E76" i="9"/>
  <c r="G84" i="5"/>
  <c r="G42" i="5"/>
  <c r="G110" i="5"/>
  <c r="G138" i="5"/>
  <c r="N72" i="5"/>
  <c r="M73" i="5"/>
  <c r="G38" i="5"/>
  <c r="G108" i="5"/>
  <c r="G136" i="5"/>
  <c r="R42" i="9"/>
  <c r="S41" i="9"/>
  <c r="G62" i="9"/>
  <c r="F63" i="9"/>
  <c r="G59" i="9"/>
  <c r="G61" i="9" s="1"/>
  <c r="I26" i="9"/>
  <c r="H27" i="9"/>
  <c r="H32" i="9" s="1"/>
  <c r="H34" i="9" s="1"/>
  <c r="H35" i="9" s="1"/>
  <c r="G32" i="5"/>
  <c r="G36" i="5"/>
  <c r="G107" i="5"/>
  <c r="G111" i="5" s="1"/>
  <c r="G127" i="5" s="1"/>
  <c r="E12" i="8" s="1"/>
  <c r="G135" i="5"/>
  <c r="H34" i="10"/>
  <c r="H36" i="10"/>
  <c r="F64" i="9"/>
  <c r="P73" i="5"/>
  <c r="Q72" i="5"/>
  <c r="K53" i="9"/>
  <c r="J54" i="9"/>
  <c r="H6" i="18"/>
  <c r="H6" i="7"/>
  <c r="S15" i="9"/>
  <c r="T14" i="9"/>
  <c r="G137" i="5"/>
  <c r="G40" i="5"/>
  <c r="G109" i="5"/>
  <c r="G51" i="9"/>
  <c r="H47" i="9"/>
  <c r="H49" i="9" s="1"/>
  <c r="H50" i="9" s="1"/>
  <c r="J39" i="10"/>
  <c r="AA93" i="5"/>
  <c r="F100" i="10" s="1"/>
  <c r="K54" i="5"/>
  <c r="J55" i="5"/>
  <c r="K17" i="5"/>
  <c r="J41" i="5"/>
  <c r="K76" i="5"/>
  <c r="J77" i="5"/>
  <c r="K63" i="5"/>
  <c r="J64" i="5"/>
  <c r="I154" i="5"/>
  <c r="I126" i="5"/>
  <c r="K56" i="5"/>
  <c r="J57" i="5"/>
  <c r="G7" i="10"/>
  <c r="G8" i="10" s="1"/>
  <c r="E83" i="9"/>
  <c r="H20" i="9"/>
  <c r="H22" i="9" s="1"/>
  <c r="H23" i="9" s="1"/>
  <c r="F19" i="8"/>
  <c r="G24" i="9"/>
  <c r="G37" i="9" s="1"/>
  <c r="G70" i="9" s="1"/>
  <c r="G75" i="9" s="1"/>
  <c r="L58" i="9"/>
  <c r="L32" i="19"/>
  <c r="I38" i="1"/>
  <c r="J26" i="1"/>
  <c r="I48" i="1"/>
  <c r="I47" i="1"/>
  <c r="I29" i="1"/>
  <c r="K36" i="10" s="1"/>
  <c r="H83" i="1"/>
  <c r="H75" i="1"/>
  <c r="J46" i="5"/>
  <c r="K27" i="5"/>
  <c r="K14" i="5"/>
  <c r="J39" i="5"/>
  <c r="J37" i="5"/>
  <c r="K11" i="5"/>
  <c r="I36" i="5"/>
  <c r="I135" i="5"/>
  <c r="I107" i="5"/>
  <c r="I19" i="5"/>
  <c r="I84" i="5" s="1"/>
  <c r="I44" i="1"/>
  <c r="J33" i="1"/>
  <c r="I54" i="1"/>
  <c r="F71" i="9"/>
  <c r="I32" i="5"/>
  <c r="I6" i="18" s="1"/>
  <c r="Q46" i="9"/>
  <c r="K24" i="5"/>
  <c r="J44" i="5"/>
  <c r="J28" i="5"/>
  <c r="I110" i="5"/>
  <c r="I138" i="5"/>
  <c r="I42" i="5"/>
  <c r="I52" i="1"/>
  <c r="I42" i="1"/>
  <c r="I34" i="1"/>
  <c r="K41" i="10" s="1"/>
  <c r="J31" i="1"/>
  <c r="I51" i="1"/>
  <c r="I59" i="1" s="1"/>
  <c r="K72" i="5"/>
  <c r="J73" i="5"/>
  <c r="J78" i="5"/>
  <c r="I79" i="5"/>
  <c r="I87" i="5" s="1"/>
  <c r="AA87" i="5" s="1"/>
  <c r="F94" i="10" s="1"/>
  <c r="I9" i="9"/>
  <c r="H69" i="9"/>
  <c r="L31" i="9"/>
  <c r="L29" i="19"/>
  <c r="F87" i="1"/>
  <c r="G10" i="18"/>
  <c r="G4" i="7"/>
  <c r="I53" i="1"/>
  <c r="I43" i="1"/>
  <c r="J32" i="1"/>
  <c r="I116" i="5"/>
  <c r="I117" i="5" s="1"/>
  <c r="I47" i="5"/>
  <c r="I144" i="5"/>
  <c r="I145" i="5" s="1"/>
  <c r="H66" i="4"/>
  <c r="H81" i="4"/>
  <c r="I39" i="1"/>
  <c r="I49" i="1"/>
  <c r="J27" i="1"/>
  <c r="I109" i="5"/>
  <c r="I40" i="5"/>
  <c r="I137" i="5"/>
  <c r="I136" i="5"/>
  <c r="I139" i="5" s="1"/>
  <c r="I38" i="5"/>
  <c r="I108" i="5"/>
  <c r="J75" i="5"/>
  <c r="J79" i="5" s="1"/>
  <c r="K74" i="5"/>
  <c r="J35" i="5"/>
  <c r="K8" i="5"/>
  <c r="J18" i="5"/>
  <c r="J19" i="5" s="1"/>
  <c r="J84" i="5" s="1"/>
  <c r="K34" i="10" s="1"/>
  <c r="J28" i="1"/>
  <c r="I50" i="1"/>
  <c r="I40" i="1"/>
  <c r="M13" i="5"/>
  <c r="H76" i="1"/>
  <c r="H77" i="1" s="1"/>
  <c r="G11" i="8" s="1"/>
  <c r="C13" i="21" s="1"/>
  <c r="H84" i="1"/>
  <c r="H60" i="1"/>
  <c r="K87" i="6"/>
  <c r="J88" i="6"/>
  <c r="J89" i="6"/>
  <c r="G87" i="1"/>
  <c r="H10" i="18"/>
  <c r="H12" i="18" s="1"/>
  <c r="I151" i="5"/>
  <c r="I123" i="5"/>
  <c r="I95" i="5"/>
  <c r="AA95" i="5" s="1"/>
  <c r="F102" i="10" s="1"/>
  <c r="G102" i="10" s="1"/>
  <c r="I13" i="7"/>
  <c r="C60" i="21" s="1"/>
  <c r="J53" i="5"/>
  <c r="J59" i="5" s="1"/>
  <c r="J58" i="5"/>
  <c r="K52" i="5"/>
  <c r="H107" i="6"/>
  <c r="G85" i="4"/>
  <c r="F18" i="8" s="1"/>
  <c r="F20" i="8" s="1"/>
  <c r="F5" i="8" s="1"/>
  <c r="H33" i="19" s="1"/>
  <c r="H34" i="19" s="1"/>
  <c r="H127" i="5"/>
  <c r="F12" i="8" s="1"/>
  <c r="AA86" i="5"/>
  <c r="F93" i="10" s="1"/>
  <c r="G93" i="10" s="1"/>
  <c r="E87" i="1"/>
  <c r="F4" i="7"/>
  <c r="F10" i="18"/>
  <c r="F12" i="18" s="1"/>
  <c r="I90" i="6"/>
  <c r="I91" i="6" s="1"/>
  <c r="K65" i="5"/>
  <c r="J66" i="5"/>
  <c r="J68" i="5" s="1"/>
  <c r="J67" i="5"/>
  <c r="I8" i="18"/>
  <c r="I148" i="5"/>
  <c r="I85" i="5"/>
  <c r="AA85" i="5" s="1"/>
  <c r="F92" i="10" s="1"/>
  <c r="I94" i="5"/>
  <c r="AA94" i="5" s="1"/>
  <c r="F101" i="10" s="1"/>
  <c r="I120" i="5"/>
  <c r="G92" i="5"/>
  <c r="G83" i="5"/>
  <c r="G116" i="6"/>
  <c r="G60" i="6"/>
  <c r="G34" i="6"/>
  <c r="G35" i="6" s="1"/>
  <c r="G76" i="6"/>
  <c r="J67" i="4"/>
  <c r="J84" i="4"/>
  <c r="L54" i="4"/>
  <c r="K56" i="4"/>
  <c r="K57" i="4"/>
  <c r="K71" i="6"/>
  <c r="J72" i="6"/>
  <c r="J73" i="6"/>
  <c r="H32" i="6"/>
  <c r="H33" i="6" s="1"/>
  <c r="N50" i="5"/>
  <c r="M51" i="5"/>
  <c r="I81" i="4"/>
  <c r="I66" i="4"/>
  <c r="J13" i="7" s="1"/>
  <c r="G108" i="6"/>
  <c r="G93" i="6"/>
  <c r="H92" i="6"/>
  <c r="H84" i="4"/>
  <c r="H67" i="4"/>
  <c r="I14" i="7" s="1"/>
  <c r="C61" i="21" s="1"/>
  <c r="I65" i="4"/>
  <c r="J9" i="7" s="1"/>
  <c r="I78" i="4"/>
  <c r="I17" i="4"/>
  <c r="I60" i="4" s="1"/>
  <c r="J15" i="4"/>
  <c r="I18" i="4"/>
  <c r="G16" i="6"/>
  <c r="G41" i="6"/>
  <c r="G17" i="6"/>
  <c r="J105" i="6"/>
  <c r="K103" i="6"/>
  <c r="J104" i="6"/>
  <c r="I106" i="6"/>
  <c r="I107" i="6" s="1"/>
  <c r="I74" i="6"/>
  <c r="I75" i="6" s="1"/>
  <c r="J29" i="6"/>
  <c r="I30" i="6"/>
  <c r="I31" i="6"/>
  <c r="K38" i="4"/>
  <c r="J43" i="4"/>
  <c r="J44" i="4"/>
  <c r="F13" i="18"/>
  <c r="H58" i="6"/>
  <c r="H115" i="6"/>
  <c r="H59" i="6"/>
  <c r="H116" i="6" s="1"/>
  <c r="I57" i="6"/>
  <c r="J55" i="6"/>
  <c r="I56" i="6"/>
  <c r="I114" i="6" s="1"/>
  <c r="K25" i="4"/>
  <c r="J30" i="4"/>
  <c r="J31" i="4"/>
  <c r="H75" i="4"/>
  <c r="H85" i="4" s="1"/>
  <c r="G18" i="8" s="1"/>
  <c r="H64" i="4"/>
  <c r="H61" i="4"/>
  <c r="I7" i="7"/>
  <c r="G68" i="4"/>
  <c r="H17" i="18" s="1"/>
  <c r="H8" i="7"/>
  <c r="H7" i="18"/>
  <c r="H14" i="6"/>
  <c r="H40" i="6" s="1"/>
  <c r="G9" i="19" s="1"/>
  <c r="I13" i="6"/>
  <c r="H15" i="6"/>
  <c r="H60" i="4"/>
  <c r="I32" i="9" l="1"/>
  <c r="I34" i="9" s="1"/>
  <c r="I35" i="9" s="1"/>
  <c r="H36" i="9"/>
  <c r="H85" i="1"/>
  <c r="G17" i="8" s="1"/>
  <c r="C36" i="21" s="1"/>
  <c r="D35" i="23" s="1"/>
  <c r="I33" i="5"/>
  <c r="K54" i="9"/>
  <c r="L53" i="9"/>
  <c r="G33" i="5"/>
  <c r="G11" i="18" s="1"/>
  <c r="G12" i="18" s="1"/>
  <c r="R72" i="5"/>
  <c r="Q73" i="5"/>
  <c r="G6" i="18"/>
  <c r="G6" i="7"/>
  <c r="N73" i="5"/>
  <c r="O72" i="5"/>
  <c r="O73" i="5" s="1"/>
  <c r="G139" i="5"/>
  <c r="G155" i="5" s="1"/>
  <c r="E16" i="8" s="1"/>
  <c r="E20" i="8" s="1"/>
  <c r="E5" i="8" s="1"/>
  <c r="G33" i="19" s="1"/>
  <c r="G34" i="19" s="1"/>
  <c r="H59" i="9"/>
  <c r="H61" i="9" s="1"/>
  <c r="H62" i="9" s="1"/>
  <c r="G63" i="9"/>
  <c r="G64" i="9" s="1"/>
  <c r="G71" i="9"/>
  <c r="U14" i="9"/>
  <c r="T15" i="9"/>
  <c r="I27" i="9"/>
  <c r="J26" i="9"/>
  <c r="S42" i="9"/>
  <c r="T41" i="9"/>
  <c r="I11" i="18"/>
  <c r="I6" i="7"/>
  <c r="C52" i="21" s="1"/>
  <c r="H24" i="9"/>
  <c r="H37" i="9" s="1"/>
  <c r="H70" i="9" s="1"/>
  <c r="H75" i="9" s="1"/>
  <c r="I20" i="9"/>
  <c r="I22" i="9" s="1"/>
  <c r="I23" i="9" s="1"/>
  <c r="G19" i="8"/>
  <c r="C38" i="21" s="1"/>
  <c r="H51" i="9"/>
  <c r="I47" i="9"/>
  <c r="I49" i="9" s="1"/>
  <c r="I50" i="9" s="1"/>
  <c r="J34" i="10"/>
  <c r="AA84" i="5"/>
  <c r="F91" i="10" s="1"/>
  <c r="I36" i="9"/>
  <c r="I155" i="5"/>
  <c r="G16" i="8" s="1"/>
  <c r="C35" i="21" s="1"/>
  <c r="J107" i="5"/>
  <c r="J36" i="5"/>
  <c r="J135" i="5"/>
  <c r="J32" i="5"/>
  <c r="M31" i="9"/>
  <c r="M29" i="19"/>
  <c r="D30" i="21" s="1"/>
  <c r="I69" i="9"/>
  <c r="J9" i="9"/>
  <c r="J126" i="5"/>
  <c r="J87" i="5"/>
  <c r="J96" i="5"/>
  <c r="J154" i="5"/>
  <c r="K73" i="5"/>
  <c r="K78" i="5"/>
  <c r="K31" i="1"/>
  <c r="J51" i="1"/>
  <c r="J59" i="1" s="1"/>
  <c r="J52" i="1"/>
  <c r="J42" i="1"/>
  <c r="J34" i="1"/>
  <c r="L41" i="10" s="1"/>
  <c r="J143" i="5"/>
  <c r="J45" i="5"/>
  <c r="J115" i="5"/>
  <c r="R46" i="9"/>
  <c r="K37" i="5"/>
  <c r="L11" i="5"/>
  <c r="J137" i="5"/>
  <c r="J40" i="5"/>
  <c r="J109" i="5"/>
  <c r="K46" i="5"/>
  <c r="L27" i="5"/>
  <c r="M58" i="9"/>
  <c r="M32" i="19"/>
  <c r="D34" i="21" s="1"/>
  <c r="E84" i="9"/>
  <c r="G72" i="9"/>
  <c r="K57" i="5"/>
  <c r="L56" i="5"/>
  <c r="I96" i="5"/>
  <c r="AA96" i="5" s="1"/>
  <c r="F103" i="10" s="1"/>
  <c r="L63" i="5"/>
  <c r="K64" i="5"/>
  <c r="K77" i="5"/>
  <c r="L76" i="5"/>
  <c r="K41" i="5"/>
  <c r="L17" i="5"/>
  <c r="L54" i="5"/>
  <c r="K55" i="5"/>
  <c r="J50" i="1"/>
  <c r="K28" i="1"/>
  <c r="J40" i="1"/>
  <c r="K35" i="5"/>
  <c r="L8" i="5"/>
  <c r="K18" i="5"/>
  <c r="K19" i="5" s="1"/>
  <c r="K84" i="5" s="1"/>
  <c r="L34" i="10" s="1"/>
  <c r="K75" i="5"/>
  <c r="L74" i="5"/>
  <c r="J39" i="1"/>
  <c r="J49" i="1"/>
  <c r="K27" i="1"/>
  <c r="K32" i="1"/>
  <c r="J53" i="1"/>
  <c r="J43" i="1"/>
  <c r="H71" i="9"/>
  <c r="I84" i="1"/>
  <c r="I76" i="1"/>
  <c r="J29" i="5"/>
  <c r="J93" i="5" s="1"/>
  <c r="K39" i="10" s="1"/>
  <c r="K28" i="5"/>
  <c r="K29" i="5" s="1"/>
  <c r="K93" i="5" s="1"/>
  <c r="L39" i="10" s="1"/>
  <c r="L24" i="5"/>
  <c r="K44" i="5"/>
  <c r="F73" i="9"/>
  <c r="F72" i="9"/>
  <c r="J54" i="1"/>
  <c r="J44" i="1"/>
  <c r="K33" i="1"/>
  <c r="I111" i="5"/>
  <c r="I127" i="5" s="1"/>
  <c r="G12" i="8" s="1"/>
  <c r="C14" i="21" s="1"/>
  <c r="J38" i="5"/>
  <c r="J136" i="5"/>
  <c r="J108" i="5"/>
  <c r="L14" i="5"/>
  <c r="K39" i="5"/>
  <c r="J47" i="5"/>
  <c r="J116" i="5"/>
  <c r="J144" i="5"/>
  <c r="I55" i="1"/>
  <c r="I58" i="1"/>
  <c r="J38" i="1"/>
  <c r="J48" i="1"/>
  <c r="K26" i="1"/>
  <c r="J29" i="1"/>
  <c r="L36" i="10" s="1"/>
  <c r="J47" i="1"/>
  <c r="J42" i="5"/>
  <c r="J138" i="5"/>
  <c r="J110" i="5"/>
  <c r="J14" i="7"/>
  <c r="D34" i="23"/>
  <c r="C21" i="27"/>
  <c r="J151" i="5"/>
  <c r="J123" i="5"/>
  <c r="J86" i="5"/>
  <c r="J95" i="5"/>
  <c r="L65" i="5"/>
  <c r="K66" i="5"/>
  <c r="K68" i="5" s="1"/>
  <c r="K67" i="5"/>
  <c r="L52" i="5"/>
  <c r="K58" i="5"/>
  <c r="K53" i="5"/>
  <c r="N13" i="5"/>
  <c r="J8" i="18"/>
  <c r="J148" i="5"/>
  <c r="J120" i="5"/>
  <c r="J94" i="5"/>
  <c r="J85" i="5"/>
  <c r="J90" i="6"/>
  <c r="J91" i="6"/>
  <c r="K88" i="6"/>
  <c r="L87" i="6"/>
  <c r="K89" i="6"/>
  <c r="H61" i="1"/>
  <c r="I4" i="7" s="1"/>
  <c r="C49" i="21" s="1"/>
  <c r="I5" i="18"/>
  <c r="C23" i="27"/>
  <c r="D13" i="23"/>
  <c r="H34" i="6"/>
  <c r="H35" i="6" s="1"/>
  <c r="J13" i="6"/>
  <c r="I15" i="6"/>
  <c r="I14" i="6"/>
  <c r="I40" i="6" s="1"/>
  <c r="H9" i="19" s="1"/>
  <c r="H68" i="4"/>
  <c r="I17" i="18" s="1"/>
  <c r="I8" i="7"/>
  <c r="J65" i="4"/>
  <c r="J78" i="4"/>
  <c r="L25" i="4"/>
  <c r="K31" i="4"/>
  <c r="K30" i="4"/>
  <c r="K55" i="6"/>
  <c r="J56" i="6"/>
  <c r="J114" i="6" s="1"/>
  <c r="J57" i="6"/>
  <c r="J81" i="4"/>
  <c r="J66" i="4"/>
  <c r="L38" i="4"/>
  <c r="K43" i="4"/>
  <c r="K44" i="4"/>
  <c r="I32" i="6"/>
  <c r="I33" i="6" s="1"/>
  <c r="K29" i="6"/>
  <c r="J31" i="6"/>
  <c r="J30" i="6"/>
  <c r="K104" i="6"/>
  <c r="L103" i="6"/>
  <c r="K105" i="6"/>
  <c r="F6" i="19"/>
  <c r="I75" i="4"/>
  <c r="I85" i="4" s="1"/>
  <c r="H18" i="8" s="1"/>
  <c r="J7" i="7"/>
  <c r="I64" i="4"/>
  <c r="I61" i="4"/>
  <c r="H108" i="6"/>
  <c r="G109" i="6"/>
  <c r="N51" i="5"/>
  <c r="O50" i="5"/>
  <c r="J74" i="6"/>
  <c r="J75" i="6" s="1"/>
  <c r="K72" i="6"/>
  <c r="L71" i="6"/>
  <c r="K73" i="6"/>
  <c r="F88" i="5"/>
  <c r="F97" i="5"/>
  <c r="G70" i="4"/>
  <c r="C54" i="21"/>
  <c r="H16" i="6"/>
  <c r="H17" i="6" s="1"/>
  <c r="H42" i="6" s="1"/>
  <c r="G10" i="7" s="1"/>
  <c r="G5" i="7" s="1"/>
  <c r="G12" i="7" s="1"/>
  <c r="G16" i="7" s="1"/>
  <c r="H41" i="6"/>
  <c r="I7" i="18"/>
  <c r="H70" i="4"/>
  <c r="C37" i="21"/>
  <c r="G20" i="8"/>
  <c r="G5" i="8" s="1"/>
  <c r="I33" i="19" s="1"/>
  <c r="I34" i="19" s="1"/>
  <c r="I58" i="6"/>
  <c r="I59" i="6" s="1"/>
  <c r="I115" i="6"/>
  <c r="G88" i="5"/>
  <c r="G97" i="5"/>
  <c r="F14" i="18"/>
  <c r="F15" i="18" s="1"/>
  <c r="F16" i="18"/>
  <c r="F13" i="19" s="1"/>
  <c r="J106" i="6"/>
  <c r="J107" i="6" s="1"/>
  <c r="G18" i="6"/>
  <c r="G42" i="6"/>
  <c r="F10" i="7" s="1"/>
  <c r="J17" i="4"/>
  <c r="J60" i="4" s="1"/>
  <c r="K15" i="4"/>
  <c r="J18" i="4"/>
  <c r="H93" i="6"/>
  <c r="I92" i="6"/>
  <c r="K67" i="4"/>
  <c r="K84" i="4"/>
  <c r="M54" i="4"/>
  <c r="L56" i="4"/>
  <c r="L57" i="4"/>
  <c r="H76" i="6"/>
  <c r="G77" i="6"/>
  <c r="G117" i="6"/>
  <c r="G118" i="6" s="1"/>
  <c r="H60" i="6"/>
  <c r="G61" i="6"/>
  <c r="C53" i="21"/>
  <c r="G13" i="18" l="1"/>
  <c r="G14" i="18" s="1"/>
  <c r="G15" i="18" s="1"/>
  <c r="G16" i="18" s="1"/>
  <c r="G13" i="19" s="1"/>
  <c r="H13" i="18"/>
  <c r="H14" i="18" s="1"/>
  <c r="U15" i="9"/>
  <c r="V14" i="9"/>
  <c r="H63" i="9"/>
  <c r="I59" i="9"/>
  <c r="I61" i="9" s="1"/>
  <c r="I62" i="9" s="1"/>
  <c r="R73" i="5"/>
  <c r="S72" i="5"/>
  <c r="K26" i="9"/>
  <c r="J27" i="9"/>
  <c r="J32" i="9" s="1"/>
  <c r="J34" i="9" s="1"/>
  <c r="J35" i="9" s="1"/>
  <c r="M53" i="9"/>
  <c r="L54" i="9"/>
  <c r="H64" i="9"/>
  <c r="U41" i="9"/>
  <c r="T42" i="9"/>
  <c r="I24" i="9"/>
  <c r="I37" i="9" s="1"/>
  <c r="I70" i="9" s="1"/>
  <c r="I75" i="9" s="1"/>
  <c r="J20" i="9"/>
  <c r="J22" i="9" s="1"/>
  <c r="J23" i="9"/>
  <c r="H19" i="8"/>
  <c r="I51" i="9"/>
  <c r="J47" i="9"/>
  <c r="J49" i="9" s="1"/>
  <c r="J50" i="9" s="1"/>
  <c r="K47" i="5"/>
  <c r="K144" i="5"/>
  <c r="K116" i="5"/>
  <c r="J33" i="5"/>
  <c r="J11" i="18" s="1"/>
  <c r="M11" i="5"/>
  <c r="L37" i="5"/>
  <c r="J117" i="5"/>
  <c r="J145" i="5"/>
  <c r="J76" i="1"/>
  <c r="J84" i="1"/>
  <c r="K154" i="5"/>
  <c r="K126" i="5"/>
  <c r="J69" i="9"/>
  <c r="K9" i="9"/>
  <c r="D30" i="26"/>
  <c r="D31" i="21"/>
  <c r="E29" i="23"/>
  <c r="D29" i="23"/>
  <c r="J6" i="18"/>
  <c r="J6" i="7"/>
  <c r="J55" i="1"/>
  <c r="J58" i="1"/>
  <c r="K47" i="1"/>
  <c r="K38" i="1"/>
  <c r="K48" i="1"/>
  <c r="L26" i="1"/>
  <c r="K29" i="1"/>
  <c r="M36" i="10" s="1"/>
  <c r="K40" i="5"/>
  <c r="K109" i="5"/>
  <c r="K137" i="5"/>
  <c r="K54" i="1"/>
  <c r="K44" i="1"/>
  <c r="L33" i="1"/>
  <c r="L28" i="5"/>
  <c r="M24" i="5"/>
  <c r="L44" i="5"/>
  <c r="I77" i="1"/>
  <c r="H11" i="8" s="1"/>
  <c r="H72" i="9"/>
  <c r="H73" i="9" s="1"/>
  <c r="K49" i="1"/>
  <c r="K39" i="1"/>
  <c r="L27" i="1"/>
  <c r="M8" i="5"/>
  <c r="L35" i="5"/>
  <c r="L18" i="5"/>
  <c r="M17" i="5"/>
  <c r="L41" i="5"/>
  <c r="M76" i="5"/>
  <c r="L77" i="5"/>
  <c r="K13" i="7"/>
  <c r="K59" i="5"/>
  <c r="K9" i="7" s="1"/>
  <c r="I75" i="1"/>
  <c r="I83" i="1"/>
  <c r="I85" i="1" s="1"/>
  <c r="H17" i="8" s="1"/>
  <c r="I60" i="1"/>
  <c r="M14" i="5"/>
  <c r="L39" i="5"/>
  <c r="F76" i="9"/>
  <c r="K45" i="5"/>
  <c r="K115" i="5"/>
  <c r="K117" i="5" s="1"/>
  <c r="K143" i="5"/>
  <c r="K145" i="5" s="1"/>
  <c r="L32" i="1"/>
  <c r="K53" i="1"/>
  <c r="K43" i="1"/>
  <c r="L75" i="5"/>
  <c r="M74" i="5"/>
  <c r="L78" i="5"/>
  <c r="K107" i="5"/>
  <c r="K36" i="5"/>
  <c r="K135" i="5"/>
  <c r="K32" i="5"/>
  <c r="K40" i="1"/>
  <c r="K50" i="1"/>
  <c r="L28" i="1"/>
  <c r="L55" i="5"/>
  <c r="M54" i="5"/>
  <c r="K110" i="5"/>
  <c r="K138" i="5"/>
  <c r="K42" i="5"/>
  <c r="L64" i="5"/>
  <c r="M63" i="5"/>
  <c r="L57" i="5"/>
  <c r="M56" i="5"/>
  <c r="G73" i="9"/>
  <c r="G76" i="9" s="1"/>
  <c r="I7" i="10" s="1"/>
  <c r="D34" i="26"/>
  <c r="E33" i="23"/>
  <c r="N58" i="9"/>
  <c r="N32" i="19"/>
  <c r="M27" i="5"/>
  <c r="L46" i="5"/>
  <c r="J111" i="5"/>
  <c r="J127" i="5" s="1"/>
  <c r="H12" i="8" s="1"/>
  <c r="J139" i="5"/>
  <c r="J155" i="5" s="1"/>
  <c r="H16" i="8" s="1"/>
  <c r="H20" i="8" s="1"/>
  <c r="H5" i="8" s="1"/>
  <c r="J33" i="19" s="1"/>
  <c r="J34" i="19" s="1"/>
  <c r="K108" i="5"/>
  <c r="K38" i="5"/>
  <c r="K136" i="5"/>
  <c r="S46" i="9"/>
  <c r="L31" i="1"/>
  <c r="K52" i="1"/>
  <c r="K42" i="1"/>
  <c r="K51" i="1"/>
  <c r="K59" i="1" s="1"/>
  <c r="K34" i="1"/>
  <c r="M41" i="10" s="1"/>
  <c r="K79" i="5"/>
  <c r="K96" i="5" s="1"/>
  <c r="I71" i="9"/>
  <c r="N31" i="9"/>
  <c r="N29" i="19"/>
  <c r="C16" i="32"/>
  <c r="C47" i="25"/>
  <c r="C23" i="32"/>
  <c r="C47" i="28"/>
  <c r="C57" i="28"/>
  <c r="C11" i="32"/>
  <c r="C6" i="32"/>
  <c r="C20" i="28"/>
  <c r="C58" i="25"/>
  <c r="C26" i="28"/>
  <c r="C50" i="25"/>
  <c r="C26" i="27"/>
  <c r="C5" i="28"/>
  <c r="C52" i="28"/>
  <c r="C53" i="25"/>
  <c r="C64" i="25"/>
  <c r="C59" i="25"/>
  <c r="K90" i="6"/>
  <c r="K91" i="6" s="1"/>
  <c r="M52" i="5"/>
  <c r="L53" i="5"/>
  <c r="L59" i="5" s="1"/>
  <c r="L58" i="5"/>
  <c r="K86" i="5"/>
  <c r="K123" i="5"/>
  <c r="K95" i="5"/>
  <c r="K151" i="5"/>
  <c r="M65" i="5"/>
  <c r="L66" i="5"/>
  <c r="L68" i="5" s="1"/>
  <c r="L67" i="5"/>
  <c r="H87" i="1"/>
  <c r="I10" i="18"/>
  <c r="I12" i="18" s="1"/>
  <c r="L88" i="6"/>
  <c r="M87" i="6"/>
  <c r="L89" i="6"/>
  <c r="L90" i="6" s="1"/>
  <c r="L91" i="6" s="1"/>
  <c r="O13" i="5"/>
  <c r="K8" i="18"/>
  <c r="K148" i="5"/>
  <c r="K120" i="5"/>
  <c r="K85" i="5"/>
  <c r="K94" i="5"/>
  <c r="F5" i="7"/>
  <c r="F12" i="7" s="1"/>
  <c r="F16" i="7" s="1"/>
  <c r="I34" i="6"/>
  <c r="I35" i="6" s="1"/>
  <c r="I116" i="6"/>
  <c r="G119" i="6"/>
  <c r="G121" i="6" s="1"/>
  <c r="I76" i="6"/>
  <c r="H77" i="6"/>
  <c r="L67" i="4"/>
  <c r="L84" i="4"/>
  <c r="N54" i="4"/>
  <c r="M56" i="4"/>
  <c r="M57" i="4"/>
  <c r="I93" i="6"/>
  <c r="J92" i="6"/>
  <c r="J75" i="4"/>
  <c r="J85" i="4" s="1"/>
  <c r="I18" i="8" s="1"/>
  <c r="J64" i="4"/>
  <c r="J61" i="4"/>
  <c r="K7" i="7"/>
  <c r="D36" i="23"/>
  <c r="C39" i="21"/>
  <c r="G6" i="19"/>
  <c r="C52" i="25"/>
  <c r="K74" i="6"/>
  <c r="K75" i="6" s="1"/>
  <c r="J7" i="18"/>
  <c r="K106" i="6"/>
  <c r="K107" i="6" s="1"/>
  <c r="J32" i="6"/>
  <c r="J33" i="6" s="1"/>
  <c r="M25" i="4"/>
  <c r="L30" i="4"/>
  <c r="L31" i="4"/>
  <c r="K13" i="6"/>
  <c r="J14" i="6"/>
  <c r="J40" i="6" s="1"/>
  <c r="I9" i="19" s="1"/>
  <c r="C8" i="21" s="1"/>
  <c r="J15" i="6"/>
  <c r="H15" i="18"/>
  <c r="H16" i="18" s="1"/>
  <c r="H13" i="19" s="1"/>
  <c r="C51" i="25"/>
  <c r="H117" i="6"/>
  <c r="H118" i="6" s="1"/>
  <c r="I60" i="6"/>
  <c r="H61" i="6"/>
  <c r="K17" i="4"/>
  <c r="K60" i="4" s="1"/>
  <c r="L15" i="4"/>
  <c r="K18" i="4"/>
  <c r="G43" i="6"/>
  <c r="H18" i="6"/>
  <c r="G19" i="6"/>
  <c r="I83" i="5"/>
  <c r="I92" i="5"/>
  <c r="H83" i="5"/>
  <c r="H92" i="5"/>
  <c r="M71" i="6"/>
  <c r="L73" i="6"/>
  <c r="L72" i="6"/>
  <c r="P50" i="5"/>
  <c r="O51" i="5"/>
  <c r="I108" i="6"/>
  <c r="H109" i="6"/>
  <c r="I68" i="4"/>
  <c r="J17" i="18" s="1"/>
  <c r="J8" i="7"/>
  <c r="M103" i="6"/>
  <c r="L105" i="6"/>
  <c r="L104" i="6"/>
  <c r="K30" i="6"/>
  <c r="L29" i="6"/>
  <c r="K31" i="6"/>
  <c r="K66" i="4"/>
  <c r="K81" i="4"/>
  <c r="L13" i="7"/>
  <c r="M38" i="4"/>
  <c r="L44" i="4"/>
  <c r="L43" i="4"/>
  <c r="J58" i="6"/>
  <c r="J59" i="6" s="1"/>
  <c r="J116" i="6" s="1"/>
  <c r="J115" i="6"/>
  <c r="L55" i="6"/>
  <c r="K56" i="6"/>
  <c r="K114" i="6" s="1"/>
  <c r="K57" i="6"/>
  <c r="K78" i="4"/>
  <c r="K65" i="4"/>
  <c r="L9" i="7"/>
  <c r="I16" i="6"/>
  <c r="I17" i="6" s="1"/>
  <c r="I41" i="6"/>
  <c r="J36" i="9" l="1"/>
  <c r="L79" i="5"/>
  <c r="L87" i="5" s="1"/>
  <c r="M54" i="9"/>
  <c r="N53" i="9"/>
  <c r="U42" i="9"/>
  <c r="V41" i="9"/>
  <c r="I63" i="9"/>
  <c r="I64" i="9" s="1"/>
  <c r="J59" i="9"/>
  <c r="J61" i="9" s="1"/>
  <c r="J62" i="9" s="1"/>
  <c r="K27" i="9"/>
  <c r="K32" i="9" s="1"/>
  <c r="K34" i="9" s="1"/>
  <c r="K35" i="9" s="1"/>
  <c r="L26" i="9"/>
  <c r="T72" i="5"/>
  <c r="S73" i="5"/>
  <c r="V15" i="9"/>
  <c r="W14" i="9"/>
  <c r="J51" i="9"/>
  <c r="K47" i="9"/>
  <c r="K49" i="9" s="1"/>
  <c r="K50" i="9" s="1"/>
  <c r="L95" i="5"/>
  <c r="O31" i="9"/>
  <c r="O29" i="19"/>
  <c r="K76" i="1"/>
  <c r="K84" i="1"/>
  <c r="M46" i="5"/>
  <c r="N27" i="5"/>
  <c r="O58" i="9"/>
  <c r="O32" i="19"/>
  <c r="M57" i="5"/>
  <c r="N56" i="5"/>
  <c r="N63" i="5"/>
  <c r="M64" i="5"/>
  <c r="K6" i="18"/>
  <c r="L126" i="5"/>
  <c r="L154" i="5"/>
  <c r="L96" i="5"/>
  <c r="L14" i="7"/>
  <c r="L137" i="5"/>
  <c r="L109" i="5"/>
  <c r="L40" i="5"/>
  <c r="I61" i="1"/>
  <c r="J4" i="7" s="1"/>
  <c r="J5" i="18"/>
  <c r="M77" i="5"/>
  <c r="N76" i="5"/>
  <c r="M41" i="5"/>
  <c r="N17" i="5"/>
  <c r="L36" i="5"/>
  <c r="L135" i="5"/>
  <c r="L107" i="5"/>
  <c r="L32" i="5"/>
  <c r="L6" i="18" s="1"/>
  <c r="L39" i="1"/>
  <c r="M27" i="1"/>
  <c r="L49" i="1"/>
  <c r="L143" i="5"/>
  <c r="L45" i="5"/>
  <c r="L115" i="5"/>
  <c r="L29" i="5"/>
  <c r="L93" i="5"/>
  <c r="K139" i="5"/>
  <c r="K155" i="5" s="1"/>
  <c r="I16" i="8" s="1"/>
  <c r="K33" i="5"/>
  <c r="K11" i="18" s="1"/>
  <c r="L48" i="1"/>
  <c r="M26" i="1"/>
  <c r="L38" i="1"/>
  <c r="L47" i="1"/>
  <c r="L29" i="1"/>
  <c r="N36" i="10" s="1"/>
  <c r="J75" i="1"/>
  <c r="J77" i="1" s="1"/>
  <c r="I11" i="8" s="1"/>
  <c r="J60" i="1"/>
  <c r="J83" i="1"/>
  <c r="J85" i="1" s="1"/>
  <c r="I17" i="8" s="1"/>
  <c r="D31" i="26"/>
  <c r="E30" i="23"/>
  <c r="D30" i="23"/>
  <c r="L9" i="9"/>
  <c r="K69" i="9"/>
  <c r="K14" i="7"/>
  <c r="M37" i="5"/>
  <c r="N11" i="5"/>
  <c r="I72" i="9"/>
  <c r="L52" i="1"/>
  <c r="L42" i="1"/>
  <c r="M31" i="1"/>
  <c r="L51" i="1"/>
  <c r="L59" i="1" s="1"/>
  <c r="L34" i="1"/>
  <c r="N41" i="10" s="1"/>
  <c r="T46" i="9"/>
  <c r="L47" i="5"/>
  <c r="L116" i="5"/>
  <c r="L144" i="5"/>
  <c r="M55" i="5"/>
  <c r="N54" i="5"/>
  <c r="L40" i="1"/>
  <c r="M28" i="1"/>
  <c r="L50" i="1"/>
  <c r="M78" i="5"/>
  <c r="M75" i="5"/>
  <c r="M79" i="5" s="1"/>
  <c r="N74" i="5"/>
  <c r="L53" i="1"/>
  <c r="L43" i="1"/>
  <c r="M32" i="1"/>
  <c r="H7" i="10"/>
  <c r="H8" i="10" s="1"/>
  <c r="I8" i="10" s="1"/>
  <c r="J8" i="10" s="1"/>
  <c r="F83" i="9"/>
  <c r="N14" i="5"/>
  <c r="M39" i="5"/>
  <c r="L110" i="5"/>
  <c r="L42" i="5"/>
  <c r="L138" i="5"/>
  <c r="L19" i="5"/>
  <c r="L84" i="5" s="1"/>
  <c r="N8" i="5"/>
  <c r="M35" i="5"/>
  <c r="M18" i="5"/>
  <c r="M19" i="5" s="1"/>
  <c r="M84" i="5" s="1"/>
  <c r="H76" i="9"/>
  <c r="J7" i="10" s="1"/>
  <c r="M44" i="5"/>
  <c r="M28" i="5"/>
  <c r="M29" i="5" s="1"/>
  <c r="M93" i="5" s="1"/>
  <c r="N39" i="10" s="1"/>
  <c r="N24" i="5"/>
  <c r="M33" i="1"/>
  <c r="L44" i="1"/>
  <c r="L54" i="1"/>
  <c r="K111" i="5"/>
  <c r="K127" i="5" s="1"/>
  <c r="I12" i="8" s="1"/>
  <c r="K55" i="1"/>
  <c r="K58" i="1"/>
  <c r="K87" i="5"/>
  <c r="L38" i="5"/>
  <c r="L108" i="5"/>
  <c r="L136" i="5"/>
  <c r="J24" i="9"/>
  <c r="J37" i="9" s="1"/>
  <c r="J70" i="9" s="1"/>
  <c r="J75" i="9" s="1"/>
  <c r="I19" i="8"/>
  <c r="K20" i="9"/>
  <c r="K22" i="9" s="1"/>
  <c r="K23" i="9" s="1"/>
  <c r="N34" i="10"/>
  <c r="P13" i="5"/>
  <c r="M88" i="6"/>
  <c r="N87" i="6"/>
  <c r="M89" i="6"/>
  <c r="I13" i="18"/>
  <c r="I14" i="18" s="1"/>
  <c r="I15" i="18" s="1"/>
  <c r="I16" i="18" s="1"/>
  <c r="I13" i="19" s="1"/>
  <c r="C15" i="21" s="1"/>
  <c r="D15" i="23" s="1"/>
  <c r="L123" i="5"/>
  <c r="L151" i="5"/>
  <c r="L86" i="5"/>
  <c r="M67" i="5"/>
  <c r="M66" i="5"/>
  <c r="M68" i="5" s="1"/>
  <c r="N65" i="5"/>
  <c r="L8" i="18"/>
  <c r="L120" i="5"/>
  <c r="L148" i="5"/>
  <c r="L94" i="5"/>
  <c r="L85" i="5"/>
  <c r="N52" i="5"/>
  <c r="M53" i="5"/>
  <c r="M59" i="5" s="1"/>
  <c r="M58" i="5"/>
  <c r="J34" i="6"/>
  <c r="J35" i="6" s="1"/>
  <c r="H6" i="19"/>
  <c r="I88" i="5"/>
  <c r="I97" i="5"/>
  <c r="M43" i="4"/>
  <c r="N38" i="4"/>
  <c r="M44" i="4"/>
  <c r="K32" i="6"/>
  <c r="K33" i="6" s="1"/>
  <c r="L107" i="6"/>
  <c r="L106" i="6"/>
  <c r="M72" i="6"/>
  <c r="N71" i="6"/>
  <c r="M73" i="6"/>
  <c r="AA83" i="5"/>
  <c r="H43" i="6"/>
  <c r="I18" i="6"/>
  <c r="H19" i="6"/>
  <c r="K64" i="4"/>
  <c r="L7" i="7"/>
  <c r="K61" i="4"/>
  <c r="K75" i="4"/>
  <c r="K85" i="4" s="1"/>
  <c r="J18" i="8" s="1"/>
  <c r="J60" i="6"/>
  <c r="I117" i="6"/>
  <c r="I118" i="6" s="1"/>
  <c r="I61" i="6"/>
  <c r="J16" i="6"/>
  <c r="J41" i="6"/>
  <c r="J17" i="6"/>
  <c r="J42" i="6" s="1"/>
  <c r="I10" i="7" s="1"/>
  <c r="I5" i="7" s="1"/>
  <c r="I12" i="7" s="1"/>
  <c r="I16" i="7" s="1"/>
  <c r="K14" i="6"/>
  <c r="K40" i="6" s="1"/>
  <c r="J9" i="19" s="1"/>
  <c r="L13" i="6"/>
  <c r="K15" i="6"/>
  <c r="C6" i="27"/>
  <c r="C37" i="27"/>
  <c r="C20" i="31"/>
  <c r="C12" i="27"/>
  <c r="C15" i="31"/>
  <c r="C17" i="27"/>
  <c r="J68" i="4"/>
  <c r="K17" i="18" s="1"/>
  <c r="K8" i="7"/>
  <c r="K92" i="6"/>
  <c r="J93" i="6"/>
  <c r="M67" i="4"/>
  <c r="M84" i="4"/>
  <c r="O54" i="4"/>
  <c r="N56" i="4"/>
  <c r="N57" i="4"/>
  <c r="F18" i="18"/>
  <c r="F89" i="5"/>
  <c r="F98" i="5"/>
  <c r="F17" i="7"/>
  <c r="I70" i="4"/>
  <c r="I42" i="6"/>
  <c r="H10" i="7" s="1"/>
  <c r="K58" i="6"/>
  <c r="K59" i="6" s="1"/>
  <c r="K115" i="6"/>
  <c r="M55" i="6"/>
  <c r="L56" i="6"/>
  <c r="L114" i="6" s="1"/>
  <c r="L57" i="6"/>
  <c r="L81" i="4"/>
  <c r="L66" i="4"/>
  <c r="L31" i="6"/>
  <c r="L30" i="6"/>
  <c r="M29" i="6"/>
  <c r="M105" i="6"/>
  <c r="M104" i="6"/>
  <c r="N103" i="6"/>
  <c r="J108" i="6"/>
  <c r="I109" i="6"/>
  <c r="P51" i="5"/>
  <c r="Q50" i="5"/>
  <c r="L74" i="6"/>
  <c r="L75" i="6" s="1"/>
  <c r="AA92" i="5"/>
  <c r="F7" i="19"/>
  <c r="F8" i="19" s="1"/>
  <c r="G44" i="6"/>
  <c r="L17" i="4"/>
  <c r="L60" i="4" s="1"/>
  <c r="M15" i="4"/>
  <c r="L18" i="4"/>
  <c r="L65" i="4"/>
  <c r="L78" i="4"/>
  <c r="N25" i="4"/>
  <c r="M30" i="4"/>
  <c r="M31" i="4"/>
  <c r="K7" i="18"/>
  <c r="J76" i="6"/>
  <c r="I77" i="6"/>
  <c r="H88" i="5"/>
  <c r="AA88" i="5" s="1"/>
  <c r="F95" i="10" s="1"/>
  <c r="G95" i="10" s="1"/>
  <c r="H97" i="5"/>
  <c r="AA97" i="5" s="1"/>
  <c r="F104" i="10" s="1"/>
  <c r="G104" i="10" s="1"/>
  <c r="I119" i="6"/>
  <c r="I121" i="6" s="1"/>
  <c r="H119" i="6"/>
  <c r="H121" i="6" s="1"/>
  <c r="F20" i="7"/>
  <c r="K36" i="9" l="1"/>
  <c r="M9" i="7"/>
  <c r="D55" i="21" s="1"/>
  <c r="X14" i="9"/>
  <c r="X15" i="9" s="1"/>
  <c r="W15" i="9"/>
  <c r="M26" i="9"/>
  <c r="L27" i="9"/>
  <c r="L32" i="9" s="1"/>
  <c r="L34" i="9" s="1"/>
  <c r="L35" i="9" s="1"/>
  <c r="V42" i="9"/>
  <c r="W41" i="9"/>
  <c r="J70" i="4"/>
  <c r="M13" i="7"/>
  <c r="D60" i="21" s="1"/>
  <c r="I20" i="8"/>
  <c r="I5" i="8" s="1"/>
  <c r="K33" i="19" s="1"/>
  <c r="K34" i="19" s="1"/>
  <c r="J63" i="9"/>
  <c r="J64" i="9" s="1"/>
  <c r="K59" i="9"/>
  <c r="K61" i="9" s="1"/>
  <c r="K62" i="9" s="1"/>
  <c r="U72" i="5"/>
  <c r="T73" i="5"/>
  <c r="O53" i="9"/>
  <c r="N54" i="9"/>
  <c r="K24" i="9"/>
  <c r="K37" i="9" s="1"/>
  <c r="K70" i="9" s="1"/>
  <c r="K75" i="9" s="1"/>
  <c r="L20" i="9"/>
  <c r="L22" i="9" s="1"/>
  <c r="L23" i="9" s="1"/>
  <c r="M34" i="10"/>
  <c r="AB84" i="5"/>
  <c r="H91" i="10" s="1"/>
  <c r="K51" i="9"/>
  <c r="L47" i="9"/>
  <c r="L49" i="9" s="1"/>
  <c r="L50" i="9" s="1"/>
  <c r="K75" i="1"/>
  <c r="K77" i="1" s="1"/>
  <c r="J11" i="8" s="1"/>
  <c r="K83" i="1"/>
  <c r="K85" i="1" s="1"/>
  <c r="J17" i="8" s="1"/>
  <c r="K60" i="1"/>
  <c r="N28" i="5"/>
  <c r="N29" i="5" s="1"/>
  <c r="N93" i="5" s="1"/>
  <c r="O39" i="10" s="1"/>
  <c r="N44" i="5"/>
  <c r="O24" i="5"/>
  <c r="M115" i="5"/>
  <c r="M143" i="5"/>
  <c r="M45" i="5"/>
  <c r="N35" i="5"/>
  <c r="O8" i="5"/>
  <c r="N18" i="5"/>
  <c r="N19" i="5" s="1"/>
  <c r="N84" i="5" s="1"/>
  <c r="M40" i="5"/>
  <c r="M109" i="5"/>
  <c r="M137" i="5"/>
  <c r="F84" i="9"/>
  <c r="G83" i="9"/>
  <c r="N75" i="5"/>
  <c r="O74" i="5"/>
  <c r="N78" i="5"/>
  <c r="M154" i="5"/>
  <c r="M126" i="5"/>
  <c r="M96" i="5"/>
  <c r="M87" i="5"/>
  <c r="M14" i="7"/>
  <c r="D61" i="21" s="1"/>
  <c r="N28" i="1"/>
  <c r="M50" i="1"/>
  <c r="M40" i="1"/>
  <c r="O54" i="5"/>
  <c r="N55" i="5"/>
  <c r="L76" i="1"/>
  <c r="L84" i="1"/>
  <c r="O11" i="5"/>
  <c r="N37" i="5"/>
  <c r="L69" i="9"/>
  <c r="M9" i="9"/>
  <c r="L58" i="1"/>
  <c r="L55" i="1"/>
  <c r="M38" i="1"/>
  <c r="M48" i="1"/>
  <c r="M47" i="1"/>
  <c r="N26" i="1"/>
  <c r="M29" i="1"/>
  <c r="O36" i="10" s="1"/>
  <c r="M39" i="10"/>
  <c r="AB93" i="5"/>
  <c r="H100" i="10" s="1"/>
  <c r="L117" i="5"/>
  <c r="L145" i="5"/>
  <c r="M49" i="1"/>
  <c r="M39" i="1"/>
  <c r="N27" i="1"/>
  <c r="N41" i="5"/>
  <c r="O17" i="5"/>
  <c r="O76" i="5"/>
  <c r="N77" i="5"/>
  <c r="I87" i="1"/>
  <c r="J10" i="18"/>
  <c r="J12" i="18" s="1"/>
  <c r="L111" i="5"/>
  <c r="AB96" i="5"/>
  <c r="H103" i="10" s="1"/>
  <c r="N64" i="5"/>
  <c r="O63" i="5"/>
  <c r="P58" i="9"/>
  <c r="P32" i="19"/>
  <c r="M116" i="5"/>
  <c r="M47" i="5"/>
  <c r="M144" i="5"/>
  <c r="P31" i="9"/>
  <c r="P29" i="19"/>
  <c r="K34" i="6"/>
  <c r="K35" i="6" s="1"/>
  <c r="L127" i="5"/>
  <c r="J12" i="8" s="1"/>
  <c r="J71" i="9"/>
  <c r="N33" i="1"/>
  <c r="M54" i="1"/>
  <c r="M44" i="1"/>
  <c r="M36" i="5"/>
  <c r="M135" i="5"/>
  <c r="M107" i="5"/>
  <c r="M32" i="5"/>
  <c r="M6" i="18" s="1"/>
  <c r="O14" i="5"/>
  <c r="N39" i="5"/>
  <c r="E79" i="9"/>
  <c r="E80" i="9" s="1"/>
  <c r="G17" i="10" s="1"/>
  <c r="M53" i="1"/>
  <c r="M43" i="1"/>
  <c r="N32" i="1"/>
  <c r="U46" i="9"/>
  <c r="N31" i="1"/>
  <c r="M51" i="1"/>
  <c r="M59" i="1" s="1"/>
  <c r="M42" i="1"/>
  <c r="M52" i="1"/>
  <c r="M34" i="1"/>
  <c r="O41" i="10" s="1"/>
  <c r="I73" i="9"/>
  <c r="I76" i="9" s="1"/>
  <c r="M108" i="5"/>
  <c r="M38" i="5"/>
  <c r="M136" i="5"/>
  <c r="K71" i="9"/>
  <c r="J61" i="1"/>
  <c r="K4" i="7" s="1"/>
  <c r="K5" i="18"/>
  <c r="L33" i="5"/>
  <c r="M110" i="5"/>
  <c r="M138" i="5"/>
  <c r="M42" i="5"/>
  <c r="L139" i="5"/>
  <c r="L155" i="5" s="1"/>
  <c r="J16" i="8" s="1"/>
  <c r="AB87" i="5"/>
  <c r="H94" i="10" s="1"/>
  <c r="K6" i="7"/>
  <c r="N57" i="5"/>
  <c r="O56" i="5"/>
  <c r="N46" i="5"/>
  <c r="O27" i="5"/>
  <c r="O34" i="10"/>
  <c r="N66" i="5"/>
  <c r="N68" i="5" s="1"/>
  <c r="N67" i="5"/>
  <c r="O65" i="5"/>
  <c r="M151" i="5"/>
  <c r="M86" i="5"/>
  <c r="AB86" i="5" s="1"/>
  <c r="H93" i="10" s="1"/>
  <c r="I93" i="10" s="1"/>
  <c r="M123" i="5"/>
  <c r="M95" i="5"/>
  <c r="AB95" i="5" s="1"/>
  <c r="H102" i="10" s="1"/>
  <c r="I102" i="10" s="1"/>
  <c r="O87" i="6"/>
  <c r="N88" i="6"/>
  <c r="N89" i="6"/>
  <c r="Q13" i="5"/>
  <c r="M8" i="18"/>
  <c r="M120" i="5"/>
  <c r="M94" i="5"/>
  <c r="AB94" i="5" s="1"/>
  <c r="H101" i="10" s="1"/>
  <c r="M148" i="5"/>
  <c r="M85" i="5"/>
  <c r="AB85" i="5" s="1"/>
  <c r="H92" i="10" s="1"/>
  <c r="N53" i="5"/>
  <c r="O52" i="5"/>
  <c r="N58" i="5"/>
  <c r="M90" i="6"/>
  <c r="M91" i="6" s="1"/>
  <c r="D52" i="26"/>
  <c r="D51" i="23"/>
  <c r="D57" i="26"/>
  <c r="D56" i="23"/>
  <c r="K116" i="6"/>
  <c r="F21" i="7"/>
  <c r="H98" i="5"/>
  <c r="H18" i="18"/>
  <c r="H89" i="5"/>
  <c r="H17" i="7"/>
  <c r="H5" i="7"/>
  <c r="H12" i="7" s="1"/>
  <c r="H16" i="7" s="1"/>
  <c r="C56" i="21"/>
  <c r="K76" i="6"/>
  <c r="J77" i="6"/>
  <c r="K83" i="5"/>
  <c r="K92" i="5"/>
  <c r="M65" i="4"/>
  <c r="M78" i="4"/>
  <c r="O25" i="4"/>
  <c r="N30" i="4"/>
  <c r="N31" i="4"/>
  <c r="L75" i="4"/>
  <c r="L85" i="4" s="1"/>
  <c r="K18" i="8" s="1"/>
  <c r="L61" i="4"/>
  <c r="L64" i="4"/>
  <c r="M7" i="7"/>
  <c r="D53" i="21" s="1"/>
  <c r="O103" i="6"/>
  <c r="N104" i="6"/>
  <c r="N105" i="6"/>
  <c r="M106" i="6"/>
  <c r="M107" i="6" s="1"/>
  <c r="F90" i="5"/>
  <c r="N84" i="4"/>
  <c r="N67" i="4"/>
  <c r="P54" i="4"/>
  <c r="O56" i="4"/>
  <c r="O57" i="4"/>
  <c r="L14" i="6"/>
  <c r="L40" i="6" s="1"/>
  <c r="K9" i="19" s="1"/>
  <c r="M13" i="6"/>
  <c r="L15" i="6"/>
  <c r="I6" i="19"/>
  <c r="K60" i="6"/>
  <c r="J117" i="6"/>
  <c r="J118" i="6" s="1"/>
  <c r="J119" i="6" s="1"/>
  <c r="J121" i="6" s="1"/>
  <c r="J61" i="6"/>
  <c r="L7" i="18"/>
  <c r="K68" i="4"/>
  <c r="L17" i="18" s="1"/>
  <c r="L8" i="7"/>
  <c r="J18" i="6"/>
  <c r="I43" i="6"/>
  <c r="I19" i="6"/>
  <c r="M74" i="6"/>
  <c r="M75" i="6" s="1"/>
  <c r="N43" i="4"/>
  <c r="O38" i="4"/>
  <c r="N44" i="4"/>
  <c r="H99" i="5"/>
  <c r="H90" i="5"/>
  <c r="G17" i="7"/>
  <c r="G20" i="7" s="1"/>
  <c r="G89" i="5"/>
  <c r="G90" i="5" s="1"/>
  <c r="G98" i="5"/>
  <c r="G99" i="5" s="1"/>
  <c r="G18" i="18"/>
  <c r="M17" i="4"/>
  <c r="M60" i="4" s="1"/>
  <c r="N15" i="4"/>
  <c r="M18" i="4"/>
  <c r="F99" i="10"/>
  <c r="Q51" i="5"/>
  <c r="R50" i="5"/>
  <c r="K108" i="6"/>
  <c r="J109" i="6"/>
  <c r="M31" i="6"/>
  <c r="N29" i="6"/>
  <c r="M30" i="6"/>
  <c r="L32" i="6"/>
  <c r="L33" i="6" s="1"/>
  <c r="L34" i="6" s="1"/>
  <c r="L35" i="6" s="1"/>
  <c r="L58" i="6"/>
  <c r="L59" i="6" s="1"/>
  <c r="L116" i="6" s="1"/>
  <c r="L115" i="6"/>
  <c r="M57" i="6"/>
  <c r="N55" i="6"/>
  <c r="M56" i="6"/>
  <c r="M114" i="6" s="1"/>
  <c r="J92" i="5"/>
  <c r="J83" i="5"/>
  <c r="F99" i="5"/>
  <c r="K93" i="6"/>
  <c r="L92" i="6"/>
  <c r="K41" i="6"/>
  <c r="K16" i="6"/>
  <c r="K17" i="6" s="1"/>
  <c r="G7" i="19"/>
  <c r="G8" i="19" s="1"/>
  <c r="H44" i="6"/>
  <c r="F90" i="10"/>
  <c r="O71" i="6"/>
  <c r="N72" i="6"/>
  <c r="N73" i="6"/>
  <c r="M66" i="4"/>
  <c r="N13" i="7" s="1"/>
  <c r="M81" i="4"/>
  <c r="L36" i="9" l="1"/>
  <c r="M32" i="9"/>
  <c r="M34" i="9" s="1"/>
  <c r="M35" i="9" s="1"/>
  <c r="N59" i="5"/>
  <c r="N9" i="7" s="1"/>
  <c r="V72" i="5"/>
  <c r="U73" i="5"/>
  <c r="K64" i="9"/>
  <c r="K63" i="9"/>
  <c r="L59" i="9"/>
  <c r="L61" i="9" s="1"/>
  <c r="L62" i="9" s="1"/>
  <c r="O54" i="9"/>
  <c r="P53" i="9"/>
  <c r="N26" i="9"/>
  <c r="M27" i="9"/>
  <c r="J19" i="8"/>
  <c r="J20" i="8" s="1"/>
  <c r="J5" i="8" s="1"/>
  <c r="L33" i="19" s="1"/>
  <c r="L34" i="19" s="1"/>
  <c r="W42" i="9"/>
  <c r="X41" i="9"/>
  <c r="X42" i="9" s="1"/>
  <c r="K7" i="10"/>
  <c r="K8" i="10" s="1"/>
  <c r="M36" i="9"/>
  <c r="L51" i="9"/>
  <c r="M47" i="9"/>
  <c r="M49" i="9" s="1"/>
  <c r="M50" i="9" s="1"/>
  <c r="M20" i="9"/>
  <c r="M22" i="9" s="1"/>
  <c r="M23" i="9" s="1"/>
  <c r="K19" i="8"/>
  <c r="D38" i="21" s="1"/>
  <c r="L24" i="9"/>
  <c r="L37" i="9" s="1"/>
  <c r="L70" i="9" s="1"/>
  <c r="L75" i="9" s="1"/>
  <c r="N144" i="5"/>
  <c r="N116" i="5"/>
  <c r="N47" i="5"/>
  <c r="J87" i="1"/>
  <c r="K10" i="18"/>
  <c r="K12" i="18" s="1"/>
  <c r="N42" i="1"/>
  <c r="O31" i="1"/>
  <c r="N51" i="1"/>
  <c r="N59" i="1" s="1"/>
  <c r="N52" i="1"/>
  <c r="N34" i="1"/>
  <c r="P41" i="10" s="1"/>
  <c r="V46" i="9"/>
  <c r="P14" i="5"/>
  <c r="O39" i="5"/>
  <c r="M33" i="5"/>
  <c r="J72" i="9"/>
  <c r="J73" i="9"/>
  <c r="Q29" i="19"/>
  <c r="E30" i="21" s="1"/>
  <c r="Q31" i="9"/>
  <c r="O64" i="5"/>
  <c r="P63" i="5"/>
  <c r="K13" i="18"/>
  <c r="J13" i="18"/>
  <c r="J14" i="18" s="1"/>
  <c r="J15" i="18" s="1"/>
  <c r="J16" i="18" s="1"/>
  <c r="J13" i="19" s="1"/>
  <c r="P17" i="5"/>
  <c r="O41" i="5"/>
  <c r="N39" i="1"/>
  <c r="O27" i="1"/>
  <c r="N49" i="1"/>
  <c r="O26" i="1"/>
  <c r="N38" i="1"/>
  <c r="N47" i="1"/>
  <c r="N48" i="1"/>
  <c r="N29" i="1"/>
  <c r="P36" i="10" s="1"/>
  <c r="M69" i="9"/>
  <c r="N9" i="9"/>
  <c r="N108" i="5"/>
  <c r="N38" i="5"/>
  <c r="N136" i="5"/>
  <c r="O55" i="5"/>
  <c r="P54" i="5"/>
  <c r="D58" i="26"/>
  <c r="D57" i="23"/>
  <c r="O75" i="5"/>
  <c r="P74" i="5"/>
  <c r="O78" i="5"/>
  <c r="M111" i="5"/>
  <c r="N107" i="5"/>
  <c r="N36" i="5"/>
  <c r="N135" i="5"/>
  <c r="N32" i="5"/>
  <c r="M145" i="5"/>
  <c r="O44" i="5"/>
  <c r="P24" i="5"/>
  <c r="O28" i="5"/>
  <c r="O29" i="5" s="1"/>
  <c r="O93" i="5" s="1"/>
  <c r="P39" i="10" s="1"/>
  <c r="P27" i="5"/>
  <c r="O46" i="5"/>
  <c r="O57" i="5"/>
  <c r="P56" i="5"/>
  <c r="L6" i="7"/>
  <c r="L11" i="18"/>
  <c r="K72" i="9"/>
  <c r="K73" i="9" s="1"/>
  <c r="M76" i="1"/>
  <c r="M84" i="1"/>
  <c r="N53" i="1"/>
  <c r="N43" i="1"/>
  <c r="O32" i="1"/>
  <c r="N137" i="5"/>
  <c r="N109" i="5"/>
  <c r="N40" i="5"/>
  <c r="N44" i="1"/>
  <c r="N54" i="1"/>
  <c r="O33" i="1"/>
  <c r="Q58" i="9"/>
  <c r="Q32" i="19"/>
  <c r="E34" i="21" s="1"/>
  <c r="O77" i="5"/>
  <c r="P76" i="5"/>
  <c r="N110" i="5"/>
  <c r="N42" i="5"/>
  <c r="N138" i="5"/>
  <c r="M55" i="1"/>
  <c r="M58" i="1"/>
  <c r="L60" i="1"/>
  <c r="L75" i="1"/>
  <c r="L77" i="1" s="1"/>
  <c r="K11" i="8" s="1"/>
  <c r="D13" i="21" s="1"/>
  <c r="L83" i="1"/>
  <c r="L85" i="1" s="1"/>
  <c r="K17" i="8" s="1"/>
  <c r="D36" i="21" s="1"/>
  <c r="O37" i="5"/>
  <c r="P11" i="5"/>
  <c r="N50" i="1"/>
  <c r="N40" i="1"/>
  <c r="O28" i="1"/>
  <c r="N154" i="5"/>
  <c r="N126" i="5"/>
  <c r="N79" i="5"/>
  <c r="N96" i="5" s="1"/>
  <c r="G84" i="9"/>
  <c r="H83" i="9"/>
  <c r="M139" i="5"/>
  <c r="M155" i="5" s="1"/>
  <c r="K16" i="8" s="1"/>
  <c r="P8" i="5"/>
  <c r="O35" i="5"/>
  <c r="O18" i="5"/>
  <c r="O19" i="5" s="1"/>
  <c r="O84" i="5" s="1"/>
  <c r="P34" i="10" s="1"/>
  <c r="M117" i="5"/>
  <c r="M127" i="5" s="1"/>
  <c r="K12" i="8" s="1"/>
  <c r="D14" i="21" s="1"/>
  <c r="N143" i="5"/>
  <c r="N145" i="5" s="1"/>
  <c r="N45" i="5"/>
  <c r="N115" i="5"/>
  <c r="N117" i="5" s="1"/>
  <c r="K61" i="1"/>
  <c r="L5" i="18"/>
  <c r="N85" i="5"/>
  <c r="N148" i="5"/>
  <c r="N120" i="5"/>
  <c r="N8" i="18"/>
  <c r="N94" i="5"/>
  <c r="N90" i="6"/>
  <c r="N91" i="6" s="1"/>
  <c r="P87" i="6"/>
  <c r="O89" i="6"/>
  <c r="O90" i="6" s="1"/>
  <c r="O88" i="6"/>
  <c r="N123" i="5"/>
  <c r="N86" i="5"/>
  <c r="N95" i="5"/>
  <c r="N151" i="5"/>
  <c r="H20" i="7"/>
  <c r="O53" i="5"/>
  <c r="P52" i="5"/>
  <c r="O58" i="5"/>
  <c r="R13" i="5"/>
  <c r="O66" i="5"/>
  <c r="O68" i="5" s="1"/>
  <c r="P65" i="5"/>
  <c r="O67" i="5"/>
  <c r="K42" i="6"/>
  <c r="I89" i="5"/>
  <c r="I90" i="5" s="1"/>
  <c r="I17" i="7"/>
  <c r="I20" i="7" s="1"/>
  <c r="I98" i="5"/>
  <c r="I18" i="18"/>
  <c r="D50" i="26"/>
  <c r="D49" i="23"/>
  <c r="L93" i="6"/>
  <c r="M92" i="6"/>
  <c r="E68" i="1"/>
  <c r="G40" i="10"/>
  <c r="M58" i="6"/>
  <c r="M59" i="6" s="1"/>
  <c r="M116" i="6" s="1"/>
  <c r="M115" i="6"/>
  <c r="M32" i="6"/>
  <c r="M33" i="6" s="1"/>
  <c r="M34" i="6" s="1"/>
  <c r="M35" i="6" s="1"/>
  <c r="L108" i="6"/>
  <c r="K109" i="6"/>
  <c r="R51" i="5"/>
  <c r="S50" i="5"/>
  <c r="M61" i="4"/>
  <c r="M64" i="4"/>
  <c r="M75" i="4"/>
  <c r="M85" i="4" s="1"/>
  <c r="L18" i="8" s="1"/>
  <c r="N7" i="7"/>
  <c r="H40" i="10"/>
  <c r="F68" i="1"/>
  <c r="I35" i="10"/>
  <c r="G67" i="1"/>
  <c r="G68" i="1"/>
  <c r="I40" i="10"/>
  <c r="N81" i="4"/>
  <c r="N66" i="4"/>
  <c r="J43" i="6"/>
  <c r="K18" i="6"/>
  <c r="J19" i="6"/>
  <c r="C7" i="21"/>
  <c r="L16" i="6"/>
  <c r="L17" i="6" s="1"/>
  <c r="L42" i="6" s="1"/>
  <c r="K10" i="7" s="1"/>
  <c r="K5" i="7" s="1"/>
  <c r="K12" i="7" s="1"/>
  <c r="K16" i="7" s="1"/>
  <c r="L41" i="6"/>
  <c r="N106" i="6"/>
  <c r="N107" i="6" s="1"/>
  <c r="O104" i="6"/>
  <c r="P103" i="6"/>
  <c r="O105" i="6"/>
  <c r="M7" i="18"/>
  <c r="N65" i="4"/>
  <c r="N78" i="4"/>
  <c r="P25" i="4"/>
  <c r="O30" i="4"/>
  <c r="O31" i="4"/>
  <c r="C21" i="32"/>
  <c r="C54" i="25"/>
  <c r="C51" i="21"/>
  <c r="J88" i="5"/>
  <c r="J10" i="7"/>
  <c r="J97" i="5"/>
  <c r="C65" i="21"/>
  <c r="K70" i="4"/>
  <c r="AA89" i="5"/>
  <c r="N74" i="6"/>
  <c r="N75" i="6" s="1"/>
  <c r="O72" i="6"/>
  <c r="P71" i="6"/>
  <c r="O73" i="6"/>
  <c r="J6" i="19"/>
  <c r="N56" i="6"/>
  <c r="N114" i="6" s="1"/>
  <c r="N57" i="6"/>
  <c r="O55" i="6"/>
  <c r="K97" i="5"/>
  <c r="K88" i="5"/>
  <c r="O29" i="6"/>
  <c r="N31" i="6"/>
  <c r="N30" i="6"/>
  <c r="N17" i="4"/>
  <c r="N60" i="4" s="1"/>
  <c r="O15" i="4"/>
  <c r="N18" i="4"/>
  <c r="H35" i="10"/>
  <c r="F67" i="1"/>
  <c r="F69" i="1" s="1"/>
  <c r="E10" i="8" s="1"/>
  <c r="E13" i="8" s="1"/>
  <c r="E4" i="8" s="1"/>
  <c r="O43" i="4"/>
  <c r="P38" i="4"/>
  <c r="O44" i="4"/>
  <c r="H7" i="19"/>
  <c r="H8" i="19" s="1"/>
  <c r="I44" i="6"/>
  <c r="L60" i="6"/>
  <c r="K117" i="6"/>
  <c r="K118" i="6" s="1"/>
  <c r="K61" i="6"/>
  <c r="M15" i="6"/>
  <c r="N13" i="6"/>
  <c r="M14" i="6"/>
  <c r="M40" i="6" s="1"/>
  <c r="L9" i="19" s="1"/>
  <c r="O67" i="4"/>
  <c r="O84" i="4"/>
  <c r="Q54" i="4"/>
  <c r="P56" i="4"/>
  <c r="P57" i="4"/>
  <c r="G35" i="10"/>
  <c r="E67" i="1"/>
  <c r="E69" i="1" s="1"/>
  <c r="D10" i="8" s="1"/>
  <c r="D13" i="8" s="1"/>
  <c r="D4" i="8" s="1"/>
  <c r="L68" i="4"/>
  <c r="M17" i="18" s="1"/>
  <c r="M8" i="7"/>
  <c r="D37" i="21"/>
  <c r="L76" i="6"/>
  <c r="K77" i="6"/>
  <c r="F22" i="7"/>
  <c r="F23" i="7" s="1"/>
  <c r="G21" i="7"/>
  <c r="D54" i="21"/>
  <c r="Q53" i="9" l="1"/>
  <c r="P54" i="9"/>
  <c r="O13" i="7"/>
  <c r="O91" i="6"/>
  <c r="L71" i="9"/>
  <c r="O59" i="5"/>
  <c r="O9" i="7" s="1"/>
  <c r="N27" i="9"/>
  <c r="N32" i="9" s="1"/>
  <c r="N34" i="9" s="1"/>
  <c r="N35" i="9" s="1"/>
  <c r="O26" i="9"/>
  <c r="L63" i="9"/>
  <c r="L64" i="9" s="1"/>
  <c r="M59" i="9"/>
  <c r="M61" i="9" s="1"/>
  <c r="M62" i="9" s="1"/>
  <c r="V73" i="5"/>
  <c r="W72" i="5"/>
  <c r="D14" i="23"/>
  <c r="D14" i="26"/>
  <c r="D35" i="21"/>
  <c r="K20" i="8"/>
  <c r="K5" i="8" s="1"/>
  <c r="M33" i="19" s="1"/>
  <c r="M34" i="19" s="1"/>
  <c r="N20" i="9"/>
  <c r="N22" i="9" s="1"/>
  <c r="N23" i="9" s="1"/>
  <c r="M24" i="9"/>
  <c r="M37" i="9" s="1"/>
  <c r="M70" i="9" s="1"/>
  <c r="M75" i="9" s="1"/>
  <c r="L19" i="8"/>
  <c r="M51" i="9"/>
  <c r="N47" i="9"/>
  <c r="N49" i="9" s="1"/>
  <c r="N50" i="9" s="1"/>
  <c r="L4" i="7"/>
  <c r="K87" i="1"/>
  <c r="L10" i="18"/>
  <c r="O135" i="5"/>
  <c r="O36" i="5"/>
  <c r="O107" i="5"/>
  <c r="O32" i="5"/>
  <c r="N14" i="7"/>
  <c r="O50" i="1"/>
  <c r="P28" i="1"/>
  <c r="O40" i="1"/>
  <c r="O38" i="5"/>
  <c r="O108" i="5"/>
  <c r="O136" i="5"/>
  <c r="D36" i="26"/>
  <c r="E35" i="23"/>
  <c r="M5" i="18"/>
  <c r="L61" i="1"/>
  <c r="M4" i="7" s="1"/>
  <c r="P77" i="5"/>
  <c r="Q76" i="5"/>
  <c r="F33" i="23"/>
  <c r="E34" i="26"/>
  <c r="O54" i="1"/>
  <c r="P33" i="1"/>
  <c r="O44" i="1"/>
  <c r="N111" i="5"/>
  <c r="O53" i="1"/>
  <c r="P32" i="1"/>
  <c r="O43" i="1"/>
  <c r="K76" i="9"/>
  <c r="M7" i="10" s="1"/>
  <c r="Q27" i="5"/>
  <c r="P46" i="5"/>
  <c r="Q24" i="5"/>
  <c r="P28" i="5"/>
  <c r="P29" i="5" s="1"/>
  <c r="P93" i="5" s="1"/>
  <c r="P44" i="5"/>
  <c r="O126" i="5"/>
  <c r="O87" i="5"/>
  <c r="O154" i="5"/>
  <c r="O79" i="5"/>
  <c r="O96" i="5" s="1"/>
  <c r="O9" i="9"/>
  <c r="N69" i="9"/>
  <c r="N58" i="1"/>
  <c r="N55" i="1"/>
  <c r="O48" i="1"/>
  <c r="O47" i="1"/>
  <c r="O38" i="1"/>
  <c r="P26" i="1"/>
  <c r="O29" i="1"/>
  <c r="Q36" i="10" s="1"/>
  <c r="O39" i="1"/>
  <c r="P27" i="1"/>
  <c r="O49" i="1"/>
  <c r="O42" i="5"/>
  <c r="O110" i="5"/>
  <c r="O138" i="5"/>
  <c r="Q63" i="5"/>
  <c r="P64" i="5"/>
  <c r="R31" i="9"/>
  <c r="R29" i="19"/>
  <c r="M6" i="7"/>
  <c r="D52" i="21" s="1"/>
  <c r="M11" i="18"/>
  <c r="Q14" i="5"/>
  <c r="P39" i="5"/>
  <c r="W46" i="9"/>
  <c r="O42" i="1"/>
  <c r="O52" i="1"/>
  <c r="P31" i="1"/>
  <c r="O51" i="1"/>
  <c r="O59" i="1" s="1"/>
  <c r="O34" i="1"/>
  <c r="Q41" i="10" s="1"/>
  <c r="O14" i="7"/>
  <c r="D37" i="23"/>
  <c r="D38" i="26"/>
  <c r="Q8" i="5"/>
  <c r="P35" i="5"/>
  <c r="P18" i="5"/>
  <c r="P19" i="5" s="1"/>
  <c r="P84" i="5" s="1"/>
  <c r="Q34" i="10" s="1"/>
  <c r="I83" i="9"/>
  <c r="H84" i="9"/>
  <c r="N87" i="5"/>
  <c r="P37" i="5"/>
  <c r="Q11" i="5"/>
  <c r="L72" i="9"/>
  <c r="L73" i="9" s="1"/>
  <c r="D21" i="28"/>
  <c r="D25" i="28"/>
  <c r="D13" i="26"/>
  <c r="D23" i="27"/>
  <c r="M60" i="1"/>
  <c r="M83" i="1"/>
  <c r="M85" i="1" s="1"/>
  <c r="L17" i="8" s="1"/>
  <c r="M75" i="1"/>
  <c r="M77" i="1" s="1"/>
  <c r="L11" i="8" s="1"/>
  <c r="R58" i="9"/>
  <c r="R32" i="19"/>
  <c r="N33" i="5"/>
  <c r="N11" i="18" s="1"/>
  <c r="N139" i="5"/>
  <c r="L12" i="18"/>
  <c r="Q56" i="5"/>
  <c r="P57" i="5"/>
  <c r="O116" i="5"/>
  <c r="O47" i="5"/>
  <c r="O144" i="5"/>
  <c r="O143" i="5"/>
  <c r="O45" i="5"/>
  <c r="O115" i="5"/>
  <c r="N6" i="18"/>
  <c r="Q74" i="5"/>
  <c r="P75" i="5"/>
  <c r="P78" i="5"/>
  <c r="Q54" i="5"/>
  <c r="P55" i="5"/>
  <c r="M71" i="9"/>
  <c r="Q17" i="5"/>
  <c r="P41" i="5"/>
  <c r="K14" i="18"/>
  <c r="K15" i="18" s="1"/>
  <c r="K16" i="18" s="1"/>
  <c r="K13" i="19" s="1"/>
  <c r="F29" i="23"/>
  <c r="E31" i="21"/>
  <c r="E30" i="26"/>
  <c r="J76" i="9"/>
  <c r="O109" i="5"/>
  <c r="O111" i="5" s="1"/>
  <c r="O137" i="5"/>
  <c r="O139" i="5" s="1"/>
  <c r="O40" i="5"/>
  <c r="N76" i="1"/>
  <c r="N84" i="1"/>
  <c r="Q39" i="10"/>
  <c r="Q65" i="5"/>
  <c r="P66" i="5"/>
  <c r="P68" i="5" s="1"/>
  <c r="P67" i="5"/>
  <c r="Q52" i="5"/>
  <c r="P53" i="5"/>
  <c r="P59" i="5" s="1"/>
  <c r="P58" i="5"/>
  <c r="P88" i="6"/>
  <c r="Q87" i="6"/>
  <c r="P89" i="6"/>
  <c r="N155" i="5"/>
  <c r="L16" i="8" s="1"/>
  <c r="L20" i="8" s="1"/>
  <c r="L5" i="8" s="1"/>
  <c r="N33" i="19" s="1"/>
  <c r="N34" i="19" s="1"/>
  <c r="O123" i="5"/>
  <c r="O86" i="5"/>
  <c r="O151" i="5"/>
  <c r="O95" i="5"/>
  <c r="S13" i="5"/>
  <c r="O148" i="5"/>
  <c r="O8" i="18"/>
  <c r="O85" i="5"/>
  <c r="O120" i="5"/>
  <c r="O94" i="5"/>
  <c r="N127" i="5"/>
  <c r="L12" i="8" s="1"/>
  <c r="D51" i="26"/>
  <c r="D50" i="23"/>
  <c r="H21" i="7"/>
  <c r="G22" i="7"/>
  <c r="G23" i="7" s="1"/>
  <c r="D6" i="8"/>
  <c r="D7" i="8" s="1"/>
  <c r="F24" i="18" s="1"/>
  <c r="F22" i="18" s="1"/>
  <c r="F12" i="19"/>
  <c r="P84" i="4"/>
  <c r="P67" i="4"/>
  <c r="R54" i="4"/>
  <c r="Q56" i="4"/>
  <c r="Q57" i="4"/>
  <c r="M16" i="6"/>
  <c r="M17" i="6" s="1"/>
  <c r="M42" i="6" s="1"/>
  <c r="L10" i="7" s="1"/>
  <c r="L5" i="7" s="1"/>
  <c r="L12" i="7" s="1"/>
  <c r="L16" i="7" s="1"/>
  <c r="M41" i="6"/>
  <c r="O66" i="4"/>
  <c r="P13" i="7" s="1"/>
  <c r="O81" i="4"/>
  <c r="H47" i="10"/>
  <c r="H45" i="10"/>
  <c r="P15" i="4"/>
  <c r="O17" i="4"/>
  <c r="O60" i="4" s="1"/>
  <c r="O18" i="4"/>
  <c r="O30" i="6"/>
  <c r="P29" i="6"/>
  <c r="O31" i="6"/>
  <c r="P55" i="6"/>
  <c r="O56" i="6"/>
  <c r="O114" i="6" s="1"/>
  <c r="O57" i="6"/>
  <c r="Q71" i="6"/>
  <c r="P73" i="6"/>
  <c r="P72" i="6"/>
  <c r="F96" i="10"/>
  <c r="G96" i="10" s="1"/>
  <c r="AA90" i="5"/>
  <c r="F97" i="10" s="1"/>
  <c r="D61" i="23"/>
  <c r="C63" i="25"/>
  <c r="Q103" i="6"/>
  <c r="P105" i="6"/>
  <c r="P104" i="6"/>
  <c r="K6" i="19"/>
  <c r="D7" i="23"/>
  <c r="C58" i="28"/>
  <c r="K43" i="6"/>
  <c r="L18" i="6"/>
  <c r="K19" i="6"/>
  <c r="I45" i="10"/>
  <c r="I47" i="10"/>
  <c r="H51" i="10"/>
  <c r="H53" i="10"/>
  <c r="N7" i="18"/>
  <c r="T50" i="5"/>
  <c r="S51" i="5"/>
  <c r="L97" i="5"/>
  <c r="L88" i="5"/>
  <c r="F19" i="18"/>
  <c r="F9" i="18" s="1"/>
  <c r="F4" i="18" s="1"/>
  <c r="F25" i="7"/>
  <c r="F28" i="7" s="1"/>
  <c r="F29" i="7" s="1"/>
  <c r="M76" i="6"/>
  <c r="L77" i="6"/>
  <c r="E36" i="23"/>
  <c r="D37" i="26"/>
  <c r="D39" i="21"/>
  <c r="G47" i="10"/>
  <c r="G45" i="10"/>
  <c r="N14" i="6"/>
  <c r="N40" i="6" s="1"/>
  <c r="M9" i="19" s="1"/>
  <c r="D8" i="21" s="1"/>
  <c r="N15" i="6"/>
  <c r="O13" i="6"/>
  <c r="M60" i="6"/>
  <c r="L117" i="6"/>
  <c r="L118" i="6" s="1"/>
  <c r="L61" i="6"/>
  <c r="P43" i="4"/>
  <c r="Q38" i="4"/>
  <c r="P44" i="4"/>
  <c r="G12" i="19"/>
  <c r="E6" i="8"/>
  <c r="E7" i="8" s="1"/>
  <c r="G24" i="18" s="1"/>
  <c r="G22" i="18" s="1"/>
  <c r="N64" i="4"/>
  <c r="N61" i="4"/>
  <c r="N75" i="4"/>
  <c r="N85" i="4" s="1"/>
  <c r="M18" i="8" s="1"/>
  <c r="O7" i="7"/>
  <c r="N32" i="6"/>
  <c r="N33" i="6" s="1"/>
  <c r="N34" i="6" s="1"/>
  <c r="N35" i="6" s="1"/>
  <c r="N58" i="6"/>
  <c r="N59" i="6" s="1"/>
  <c r="N116" i="6" s="1"/>
  <c r="N115" i="6"/>
  <c r="O74" i="6"/>
  <c r="O75" i="6" s="1"/>
  <c r="L83" i="5"/>
  <c r="L92" i="5"/>
  <c r="J5" i="7"/>
  <c r="J12" i="7" s="1"/>
  <c r="J16" i="7" s="1"/>
  <c r="C30" i="28"/>
  <c r="C32" i="27"/>
  <c r="C36" i="28"/>
  <c r="C16" i="28"/>
  <c r="C10" i="28"/>
  <c r="C49" i="25"/>
  <c r="C58" i="21"/>
  <c r="O65" i="4"/>
  <c r="P9" i="7" s="1"/>
  <c r="O78" i="4"/>
  <c r="Q25" i="4"/>
  <c r="P30" i="4"/>
  <c r="P31" i="4"/>
  <c r="O106" i="6"/>
  <c r="O107" i="6" s="1"/>
  <c r="I7" i="19"/>
  <c r="I8" i="19" s="1"/>
  <c r="J44" i="6"/>
  <c r="C6" i="21" s="1"/>
  <c r="I51" i="10"/>
  <c r="I53" i="10"/>
  <c r="M68" i="4"/>
  <c r="N17" i="18" s="1"/>
  <c r="N8" i="7"/>
  <c r="M108" i="6"/>
  <c r="L109" i="6"/>
  <c r="G51" i="10"/>
  <c r="G53" i="10"/>
  <c r="M93" i="6"/>
  <c r="N92" i="6"/>
  <c r="I99" i="5"/>
  <c r="AA98" i="5"/>
  <c r="J35" i="10"/>
  <c r="H67" i="1"/>
  <c r="L70" i="4"/>
  <c r="K119" i="6"/>
  <c r="K121" i="6" s="1"/>
  <c r="G69" i="1"/>
  <c r="F10" i="8" s="1"/>
  <c r="F13" i="8" s="1"/>
  <c r="F4" i="8" s="1"/>
  <c r="N36" i="9" l="1"/>
  <c r="N6" i="7"/>
  <c r="W73" i="5"/>
  <c r="X72" i="5"/>
  <c r="P26" i="9"/>
  <c r="O27" i="9"/>
  <c r="O32" i="9" s="1"/>
  <c r="O34" i="9" s="1"/>
  <c r="O35" i="9" s="1"/>
  <c r="O33" i="5"/>
  <c r="O11" i="18" s="1"/>
  <c r="Q54" i="9"/>
  <c r="R53" i="9"/>
  <c r="M63" i="9"/>
  <c r="M64" i="9" s="1"/>
  <c r="N59" i="9"/>
  <c r="N61" i="9" s="1"/>
  <c r="N62" i="9" s="1"/>
  <c r="N51" i="9"/>
  <c r="O47" i="9"/>
  <c r="O49" i="9" s="1"/>
  <c r="O50" i="9" s="1"/>
  <c r="L7" i="10"/>
  <c r="L8" i="10" s="1"/>
  <c r="M8" i="10" s="1"/>
  <c r="E31" i="26"/>
  <c r="F30" i="23"/>
  <c r="P42" i="5"/>
  <c r="P110" i="5"/>
  <c r="P138" i="5"/>
  <c r="M72" i="9"/>
  <c r="R54" i="5"/>
  <c r="Q55" i="5"/>
  <c r="O117" i="5"/>
  <c r="O145" i="5"/>
  <c r="S58" i="9"/>
  <c r="S32" i="19"/>
  <c r="R11" i="5"/>
  <c r="Q37" i="5"/>
  <c r="Q35" i="5"/>
  <c r="R8" i="5"/>
  <c r="Q18" i="5"/>
  <c r="Q19" i="5" s="1"/>
  <c r="Q84" i="5" s="1"/>
  <c r="L13" i="18"/>
  <c r="L14" i="18" s="1"/>
  <c r="L15" i="18" s="1"/>
  <c r="L16" i="18" s="1"/>
  <c r="L13" i="19" s="1"/>
  <c r="P42" i="1"/>
  <c r="P52" i="1"/>
  <c r="P51" i="1"/>
  <c r="P59" i="1" s="1"/>
  <c r="Q31" i="1"/>
  <c r="P34" i="1"/>
  <c r="R41" i="10" s="1"/>
  <c r="R14" i="5"/>
  <c r="Q39" i="5"/>
  <c r="D49" i="26"/>
  <c r="D48" i="23"/>
  <c r="S31" i="9"/>
  <c r="S29" i="19"/>
  <c r="Q64" i="5"/>
  <c r="R63" i="5"/>
  <c r="Q26" i="1"/>
  <c r="P47" i="1"/>
  <c r="P48" i="1"/>
  <c r="P38" i="1"/>
  <c r="P29" i="1"/>
  <c r="R36" i="10" s="1"/>
  <c r="O58" i="1"/>
  <c r="O55" i="1"/>
  <c r="P116" i="5"/>
  <c r="P144" i="5"/>
  <c r="P47" i="5"/>
  <c r="Q32" i="1"/>
  <c r="P53" i="1"/>
  <c r="P43" i="1"/>
  <c r="Q33" i="1"/>
  <c r="P44" i="1"/>
  <c r="P54" i="1"/>
  <c r="R76" i="5"/>
  <c r="Q77" i="5"/>
  <c r="O6" i="7"/>
  <c r="O6" i="18"/>
  <c r="D49" i="21"/>
  <c r="O20" i="9"/>
  <c r="O22" i="9" s="1"/>
  <c r="N24" i="9"/>
  <c r="N37" i="9" s="1"/>
  <c r="N70" i="9" s="1"/>
  <c r="N75" i="9" s="1"/>
  <c r="M19" i="8"/>
  <c r="O23" i="9"/>
  <c r="O127" i="5"/>
  <c r="M12" i="8" s="1"/>
  <c r="Q41" i="5"/>
  <c r="R17" i="5"/>
  <c r="P154" i="5"/>
  <c r="P126" i="5"/>
  <c r="R74" i="5"/>
  <c r="Q75" i="5"/>
  <c r="Q78" i="5"/>
  <c r="Q57" i="5"/>
  <c r="R56" i="5"/>
  <c r="N5" i="18"/>
  <c r="M61" i="1"/>
  <c r="N4" i="7" s="1"/>
  <c r="L76" i="9"/>
  <c r="N7" i="10" s="1"/>
  <c r="P136" i="5"/>
  <c r="P38" i="5"/>
  <c r="P108" i="5"/>
  <c r="J83" i="9"/>
  <c r="I84" i="9"/>
  <c r="P107" i="5"/>
  <c r="P36" i="5"/>
  <c r="P135" i="5"/>
  <c r="P32" i="5"/>
  <c r="O84" i="1"/>
  <c r="O76" i="1"/>
  <c r="X46" i="9"/>
  <c r="P109" i="5"/>
  <c r="P137" i="5"/>
  <c r="P40" i="5"/>
  <c r="P49" i="1"/>
  <c r="P39" i="1"/>
  <c r="Q27" i="1"/>
  <c r="N83" i="1"/>
  <c r="N85" i="1" s="1"/>
  <c r="M17" i="8" s="1"/>
  <c r="N75" i="1"/>
  <c r="N77" i="1" s="1"/>
  <c r="M11" i="8" s="1"/>
  <c r="N60" i="1"/>
  <c r="O69" i="9"/>
  <c r="P9" i="9"/>
  <c r="P143" i="5"/>
  <c r="P145" i="5" s="1"/>
  <c r="P115" i="5"/>
  <c r="P117" i="5" s="1"/>
  <c r="P45" i="5"/>
  <c r="R24" i="5"/>
  <c r="Q28" i="5"/>
  <c r="Q29" i="5" s="1"/>
  <c r="Q93" i="5" s="1"/>
  <c r="Q44" i="5"/>
  <c r="R27" i="5"/>
  <c r="Q46" i="5"/>
  <c r="P79" i="5"/>
  <c r="P14" i="7" s="1"/>
  <c r="L87" i="1"/>
  <c r="M10" i="18"/>
  <c r="M12" i="18" s="1"/>
  <c r="P40" i="1"/>
  <c r="Q28" i="1"/>
  <c r="P50" i="1"/>
  <c r="D35" i="28"/>
  <c r="D31" i="28"/>
  <c r="D32" i="28" s="1"/>
  <c r="D35" i="26"/>
  <c r="E34" i="23"/>
  <c r="D21" i="27"/>
  <c r="R34" i="10"/>
  <c r="AC84" i="5"/>
  <c r="J91" i="10" s="1"/>
  <c r="Q89" i="6"/>
  <c r="Q88" i="6"/>
  <c r="R87" i="6"/>
  <c r="P8" i="18"/>
  <c r="P120" i="5"/>
  <c r="P85" i="5"/>
  <c r="P148" i="5"/>
  <c r="P94" i="5"/>
  <c r="R52" i="5"/>
  <c r="Q53" i="5"/>
  <c r="Q59" i="5" s="1"/>
  <c r="Q58" i="5"/>
  <c r="P123" i="5"/>
  <c r="P151" i="5"/>
  <c r="P86" i="5"/>
  <c r="P95" i="5"/>
  <c r="R65" i="5"/>
  <c r="Q67" i="5"/>
  <c r="Q66" i="5"/>
  <c r="Q68" i="5" s="1"/>
  <c r="Q95" i="5" s="1"/>
  <c r="O155" i="5"/>
  <c r="M16" i="8" s="1"/>
  <c r="M20" i="8" s="1"/>
  <c r="M5" i="8" s="1"/>
  <c r="O33" i="19" s="1"/>
  <c r="O34" i="19" s="1"/>
  <c r="T13" i="5"/>
  <c r="P90" i="6"/>
  <c r="P91" i="6" s="1"/>
  <c r="F105" i="10"/>
  <c r="G105" i="10" s="1"/>
  <c r="AA99" i="5"/>
  <c r="F106" i="10" s="1"/>
  <c r="H12" i="19"/>
  <c r="F6" i="8"/>
  <c r="F7" i="8" s="1"/>
  <c r="H24" i="18" s="1"/>
  <c r="H22" i="18" s="1"/>
  <c r="M92" i="5"/>
  <c r="M83" i="5"/>
  <c r="AB83" i="5" s="1"/>
  <c r="J47" i="10"/>
  <c r="J45" i="10"/>
  <c r="H68" i="1"/>
  <c r="J40" i="10"/>
  <c r="G52" i="10"/>
  <c r="G54" i="10" s="1"/>
  <c r="G55" i="10"/>
  <c r="N108" i="6"/>
  <c r="M109" i="6"/>
  <c r="C9" i="21"/>
  <c r="O7" i="18"/>
  <c r="P66" i="4"/>
  <c r="Q13" i="7" s="1"/>
  <c r="E60" i="21" s="1"/>
  <c r="P81" i="4"/>
  <c r="P13" i="6"/>
  <c r="O15" i="6"/>
  <c r="O14" i="6"/>
  <c r="O40" i="6" s="1"/>
  <c r="N9" i="19" s="1"/>
  <c r="D8" i="26"/>
  <c r="D8" i="23"/>
  <c r="F25" i="19"/>
  <c r="F27" i="19" s="1"/>
  <c r="F36" i="19" s="1"/>
  <c r="U50" i="5"/>
  <c r="T51" i="5"/>
  <c r="H52" i="10"/>
  <c r="H54" i="10" s="1"/>
  <c r="H55" i="10"/>
  <c r="I46" i="10"/>
  <c r="I48" i="10" s="1"/>
  <c r="I49" i="10"/>
  <c r="M18" i="6"/>
  <c r="L43" i="6"/>
  <c r="L19" i="6"/>
  <c r="Q105" i="6"/>
  <c r="Q104" i="6"/>
  <c r="R103" i="6"/>
  <c r="P74" i="6"/>
  <c r="P75" i="6" s="1"/>
  <c r="O58" i="6"/>
  <c r="O59" i="6" s="1"/>
  <c r="O116" i="6" s="1"/>
  <c r="O115" i="6"/>
  <c r="P56" i="6"/>
  <c r="P114" i="6" s="1"/>
  <c r="P57" i="6"/>
  <c r="Q55" i="6"/>
  <c r="P31" i="6"/>
  <c r="P30" i="6"/>
  <c r="Q29" i="6"/>
  <c r="O61" i="4"/>
  <c r="O75" i="4"/>
  <c r="O85" i="4" s="1"/>
  <c r="N18" i="8" s="1"/>
  <c r="O64" i="4"/>
  <c r="P7" i="7"/>
  <c r="P17" i="4"/>
  <c r="P60" i="4" s="1"/>
  <c r="Q15" i="4"/>
  <c r="P18" i="4"/>
  <c r="L6" i="19"/>
  <c r="Q67" i="4"/>
  <c r="Q84" i="4"/>
  <c r="S54" i="4"/>
  <c r="R56" i="4"/>
  <c r="R57" i="4"/>
  <c r="G19" i="18"/>
  <c r="G9" i="18" s="1"/>
  <c r="G4" i="18" s="1"/>
  <c r="G25" i="7"/>
  <c r="G28" i="7" s="1"/>
  <c r="G29" i="7" s="1"/>
  <c r="L119" i="6"/>
  <c r="L121" i="6" s="1"/>
  <c r="J89" i="5"/>
  <c r="J17" i="7"/>
  <c r="J20" i="7" s="1"/>
  <c r="J18" i="18"/>
  <c r="J98" i="5"/>
  <c r="N93" i="6"/>
  <c r="O92" i="6"/>
  <c r="I52" i="10"/>
  <c r="I54" i="10" s="1"/>
  <c r="I55" i="10"/>
  <c r="P65" i="4"/>
  <c r="Q9" i="7" s="1"/>
  <c r="E55" i="21" s="1"/>
  <c r="P78" i="4"/>
  <c r="R25" i="4"/>
  <c r="Q30" i="4"/>
  <c r="Q31" i="4"/>
  <c r="C5" i="32"/>
  <c r="C7" i="32" s="1"/>
  <c r="C63" i="21"/>
  <c r="C56" i="25"/>
  <c r="AB92" i="5"/>
  <c r="M97" i="5"/>
  <c r="AB97" i="5" s="1"/>
  <c r="H104" i="10" s="1"/>
  <c r="I104" i="10" s="1"/>
  <c r="M88" i="5"/>
  <c r="AB88" i="5" s="1"/>
  <c r="H95" i="10" s="1"/>
  <c r="I95" i="10" s="1"/>
  <c r="N68" i="4"/>
  <c r="O17" i="18" s="1"/>
  <c r="O8" i="7"/>
  <c r="Q43" i="4"/>
  <c r="R38" i="4"/>
  <c r="Q44" i="4"/>
  <c r="N60" i="6"/>
  <c r="M117" i="6"/>
  <c r="M118" i="6" s="1"/>
  <c r="M61" i="6"/>
  <c r="N41" i="6"/>
  <c r="N16" i="6"/>
  <c r="N17" i="6" s="1"/>
  <c r="G46" i="10"/>
  <c r="G48" i="10" s="1"/>
  <c r="G49" i="10"/>
  <c r="D12" i="27"/>
  <c r="D17" i="27"/>
  <c r="D37" i="27"/>
  <c r="D15" i="31"/>
  <c r="D39" i="26"/>
  <c r="D6" i="27"/>
  <c r="D20" i="31"/>
  <c r="D38" i="23"/>
  <c r="N76" i="6"/>
  <c r="M77" i="6"/>
  <c r="F34" i="18"/>
  <c r="G5" i="10"/>
  <c r="J7" i="19"/>
  <c r="J8" i="19" s="1"/>
  <c r="K44" i="6"/>
  <c r="P106" i="6"/>
  <c r="P107" i="6" s="1"/>
  <c r="G97" i="10"/>
  <c r="G91" i="10"/>
  <c r="G94" i="10"/>
  <c r="G92" i="10"/>
  <c r="G90" i="10"/>
  <c r="Q73" i="6"/>
  <c r="Q72" i="6"/>
  <c r="R71" i="6"/>
  <c r="O32" i="6"/>
  <c r="O33" i="6" s="1"/>
  <c r="O34" i="6" s="1"/>
  <c r="O35" i="6" s="1"/>
  <c r="H46" i="10"/>
  <c r="H48" i="10" s="1"/>
  <c r="H49" i="10"/>
  <c r="H22" i="7"/>
  <c r="H23" i="7" s="1"/>
  <c r="I21" i="7"/>
  <c r="H69" i="1"/>
  <c r="G10" i="8" s="1"/>
  <c r="M70" i="4"/>
  <c r="O36" i="9" l="1"/>
  <c r="P139" i="5"/>
  <c r="S53" i="9"/>
  <c r="R54" i="9"/>
  <c r="Q26" i="9"/>
  <c r="P27" i="9"/>
  <c r="P32" i="9" s="1"/>
  <c r="P34" i="9" s="1"/>
  <c r="P35" i="9" s="1"/>
  <c r="O59" i="9"/>
  <c r="O61" i="9" s="1"/>
  <c r="O62" i="9" s="1"/>
  <c r="N63" i="9"/>
  <c r="N64" i="9" s="1"/>
  <c r="X73" i="5"/>
  <c r="Y72" i="5"/>
  <c r="Y73" i="5" s="1"/>
  <c r="M13" i="18"/>
  <c r="M14" i="18" s="1"/>
  <c r="M15" i="18" s="1"/>
  <c r="M16" i="18" s="1"/>
  <c r="M13" i="19" s="1"/>
  <c r="D15" i="21" s="1"/>
  <c r="O51" i="9"/>
  <c r="P47" i="9"/>
  <c r="P49" i="9" s="1"/>
  <c r="P50" i="9" s="1"/>
  <c r="P155" i="5"/>
  <c r="N16" i="8" s="1"/>
  <c r="Q50" i="1"/>
  <c r="Q40" i="1"/>
  <c r="R28" i="1"/>
  <c r="S27" i="5"/>
  <c r="R46" i="5"/>
  <c r="R39" i="10"/>
  <c r="AC93" i="5"/>
  <c r="J100" i="10" s="1"/>
  <c r="Q39" i="1"/>
  <c r="Q49" i="1"/>
  <c r="R27" i="1"/>
  <c r="P33" i="5"/>
  <c r="P11" i="18" s="1"/>
  <c r="P111" i="5"/>
  <c r="K83" i="9"/>
  <c r="J84" i="9"/>
  <c r="N10" i="18"/>
  <c r="N12" i="18" s="1"/>
  <c r="N13" i="18" s="1"/>
  <c r="N14" i="18" s="1"/>
  <c r="N15" i="18" s="1"/>
  <c r="N16" i="18" s="1"/>
  <c r="N13" i="19" s="1"/>
  <c r="M87" i="1"/>
  <c r="R57" i="5"/>
  <c r="S56" i="5"/>
  <c r="Q154" i="5"/>
  <c r="Q126" i="5"/>
  <c r="S74" i="5"/>
  <c r="R75" i="5"/>
  <c r="R78" i="5"/>
  <c r="P96" i="5"/>
  <c r="P87" i="5"/>
  <c r="S17" i="5"/>
  <c r="R41" i="5"/>
  <c r="Q79" i="5"/>
  <c r="Q87" i="5" s="1"/>
  <c r="AC87" i="5" s="1"/>
  <c r="J94" i="10" s="1"/>
  <c r="R33" i="1"/>
  <c r="Q44" i="1"/>
  <c r="Q54" i="1"/>
  <c r="Q47" i="1"/>
  <c r="Q48" i="1"/>
  <c r="Q38" i="1"/>
  <c r="R26" i="1"/>
  <c r="Q29" i="1"/>
  <c r="S36" i="10" s="1"/>
  <c r="T29" i="19"/>
  <c r="T31" i="9"/>
  <c r="S14" i="5"/>
  <c r="R39" i="5"/>
  <c r="Q42" i="1"/>
  <c r="Q51" i="1"/>
  <c r="Q59" i="1" s="1"/>
  <c r="Q52" i="1"/>
  <c r="R31" i="1"/>
  <c r="Q34" i="1"/>
  <c r="S41" i="10" s="1"/>
  <c r="R35" i="5"/>
  <c r="S8" i="5"/>
  <c r="R18" i="5"/>
  <c r="Q38" i="5"/>
  <c r="Q108" i="5"/>
  <c r="Q136" i="5"/>
  <c r="S54" i="5"/>
  <c r="R55" i="5"/>
  <c r="F79" i="9"/>
  <c r="F80" i="9" s="1"/>
  <c r="H17" i="10" s="1"/>
  <c r="Q144" i="5"/>
  <c r="Q47" i="5"/>
  <c r="Q116" i="5"/>
  <c r="Q143" i="5"/>
  <c r="Q115" i="5"/>
  <c r="Q117" i="5" s="1"/>
  <c r="Q45" i="5"/>
  <c r="R28" i="5"/>
  <c r="R29" i="5" s="1"/>
  <c r="R93" i="5" s="1"/>
  <c r="S24" i="5"/>
  <c r="R44" i="5"/>
  <c r="P69" i="9"/>
  <c r="Q9" i="9"/>
  <c r="O5" i="18"/>
  <c r="N61" i="1"/>
  <c r="P6" i="7"/>
  <c r="P6" i="18"/>
  <c r="Q110" i="5"/>
  <c r="Q42" i="5"/>
  <c r="Q138" i="5"/>
  <c r="O24" i="9"/>
  <c r="O37" i="9" s="1"/>
  <c r="O70" i="9" s="1"/>
  <c r="O75" i="9" s="1"/>
  <c r="N19" i="8"/>
  <c r="P20" i="9"/>
  <c r="P22" i="9" s="1"/>
  <c r="P23" i="9" s="1"/>
  <c r="D64" i="25"/>
  <c r="D5" i="28"/>
  <c r="D26" i="27"/>
  <c r="D6" i="32"/>
  <c r="D11" i="32"/>
  <c r="D50" i="25"/>
  <c r="D16" i="32"/>
  <c r="D52" i="28"/>
  <c r="D46" i="26"/>
  <c r="D58" i="25"/>
  <c r="D57" i="28"/>
  <c r="D59" i="25"/>
  <c r="D47" i="28"/>
  <c r="D20" i="28"/>
  <c r="D22" i="28" s="1"/>
  <c r="D26" i="28"/>
  <c r="D27" i="28" s="1"/>
  <c r="D41" i="28" s="1"/>
  <c r="D45" i="23"/>
  <c r="D75" i="23" s="1"/>
  <c r="D23" i="32"/>
  <c r="D47" i="25"/>
  <c r="D53" i="25"/>
  <c r="D51" i="25"/>
  <c r="D52" i="25"/>
  <c r="S76" i="5"/>
  <c r="R77" i="5"/>
  <c r="R79" i="5" s="1"/>
  <c r="R32" i="1"/>
  <c r="Q53" i="1"/>
  <c r="Q43" i="1"/>
  <c r="N71" i="9"/>
  <c r="O83" i="1"/>
  <c r="O85" i="1" s="1"/>
  <c r="N17" i="8" s="1"/>
  <c r="N20" i="8" s="1"/>
  <c r="N5" i="8" s="1"/>
  <c r="P33" i="19" s="1"/>
  <c r="P34" i="19" s="1"/>
  <c r="O60" i="1"/>
  <c r="O75" i="1"/>
  <c r="O77" i="1" s="1"/>
  <c r="N11" i="8" s="1"/>
  <c r="P58" i="1"/>
  <c r="P55" i="1"/>
  <c r="R64" i="5"/>
  <c r="S63" i="5"/>
  <c r="Q40" i="5"/>
  <c r="Q109" i="5"/>
  <c r="Q137" i="5"/>
  <c r="P84" i="1"/>
  <c r="P76" i="1"/>
  <c r="Q107" i="5"/>
  <c r="Q36" i="5"/>
  <c r="Q135" i="5"/>
  <c r="Q32" i="5"/>
  <c r="Q6" i="18" s="1"/>
  <c r="S11" i="5"/>
  <c r="R37" i="5"/>
  <c r="T58" i="9"/>
  <c r="T32" i="19"/>
  <c r="M73" i="9"/>
  <c r="M76" i="9" s="1"/>
  <c r="N8" i="10"/>
  <c r="S39" i="10"/>
  <c r="U13" i="5"/>
  <c r="Q123" i="5"/>
  <c r="Q151" i="5"/>
  <c r="Q86" i="5"/>
  <c r="AC86" i="5" s="1"/>
  <c r="J93" i="10" s="1"/>
  <c r="K93" i="10" s="1"/>
  <c r="AC95" i="5"/>
  <c r="J102" i="10" s="1"/>
  <c r="K102" i="10" s="1"/>
  <c r="S65" i="5"/>
  <c r="R67" i="5"/>
  <c r="R66" i="5"/>
  <c r="R68" i="5" s="1"/>
  <c r="Q94" i="5"/>
  <c r="AC94" i="5" s="1"/>
  <c r="J101" i="10" s="1"/>
  <c r="Q148" i="5"/>
  <c r="Q120" i="5"/>
  <c r="Q8" i="18"/>
  <c r="Q85" i="5"/>
  <c r="AC85" i="5" s="1"/>
  <c r="J92" i="10" s="1"/>
  <c r="S52" i="5"/>
  <c r="R53" i="5"/>
  <c r="R59" i="5" s="1"/>
  <c r="R58" i="5"/>
  <c r="S87" i="6"/>
  <c r="R89" i="6"/>
  <c r="R90" i="6" s="1"/>
  <c r="R88" i="6"/>
  <c r="Q90" i="6"/>
  <c r="Q91" i="6" s="1"/>
  <c r="P127" i="5"/>
  <c r="N12" i="8" s="1"/>
  <c r="E52" i="26"/>
  <c r="E51" i="23"/>
  <c r="G25" i="19"/>
  <c r="G27" i="19" s="1"/>
  <c r="G36" i="19" s="1"/>
  <c r="E57" i="26"/>
  <c r="E56" i="23"/>
  <c r="G13" i="8"/>
  <c r="G4" i="8" s="1"/>
  <c r="C12" i="21"/>
  <c r="H19" i="18"/>
  <c r="H9" i="18" s="1"/>
  <c r="H4" i="18" s="1"/>
  <c r="H25" i="7"/>
  <c r="H28" i="7" s="1"/>
  <c r="H29" i="7" s="1"/>
  <c r="R72" i="6"/>
  <c r="S71" i="6"/>
  <c r="R73" i="6"/>
  <c r="Q74" i="6"/>
  <c r="Q75" i="6" s="1"/>
  <c r="F35" i="18"/>
  <c r="O76" i="6"/>
  <c r="N77" i="6"/>
  <c r="N42" i="6"/>
  <c r="M10" i="7" s="1"/>
  <c r="O60" i="6"/>
  <c r="N117" i="6"/>
  <c r="N118" i="6" s="1"/>
  <c r="N61" i="6"/>
  <c r="R43" i="4"/>
  <c r="S38" i="4"/>
  <c r="R44" i="4"/>
  <c r="H99" i="10"/>
  <c r="Q65" i="4"/>
  <c r="Q78" i="4"/>
  <c r="S25" i="4"/>
  <c r="R30" i="4"/>
  <c r="R31" i="4"/>
  <c r="P92" i="6"/>
  <c r="O93" i="6"/>
  <c r="J99" i="5"/>
  <c r="K98" i="5"/>
  <c r="K99" i="5" s="1"/>
  <c r="K89" i="5"/>
  <c r="K90" i="5" s="1"/>
  <c r="K18" i="18"/>
  <c r="K17" i="7"/>
  <c r="K20" i="7" s="1"/>
  <c r="H5" i="10"/>
  <c r="H9" i="10" s="1"/>
  <c r="G34" i="18"/>
  <c r="R15" i="4"/>
  <c r="Q17" i="4"/>
  <c r="Q60" i="4" s="1"/>
  <c r="Q18" i="4"/>
  <c r="Q30" i="6"/>
  <c r="R29" i="6"/>
  <c r="Q31" i="6"/>
  <c r="P32" i="6"/>
  <c r="P33" i="6" s="1"/>
  <c r="P34" i="6" s="1"/>
  <c r="P35" i="6" s="1"/>
  <c r="P58" i="6"/>
  <c r="P59" i="6" s="1"/>
  <c r="P116" i="6" s="1"/>
  <c r="P115" i="6"/>
  <c r="N97" i="5"/>
  <c r="N88" i="5"/>
  <c r="M43" i="6"/>
  <c r="N18" i="6"/>
  <c r="M19" i="6"/>
  <c r="P15" i="6"/>
  <c r="P14" i="6"/>
  <c r="P40" i="6" s="1"/>
  <c r="O9" i="19" s="1"/>
  <c r="Q13" i="6"/>
  <c r="H90" i="10"/>
  <c r="J53" i="10"/>
  <c r="J51" i="10"/>
  <c r="J46" i="10"/>
  <c r="J48" i="10" s="1"/>
  <c r="J49" i="10"/>
  <c r="G106" i="10"/>
  <c r="G103" i="10"/>
  <c r="G100" i="10"/>
  <c r="G101" i="10"/>
  <c r="G99" i="10"/>
  <c r="N92" i="5"/>
  <c r="N83" i="5"/>
  <c r="I22" i="7"/>
  <c r="I23" i="7" s="1"/>
  <c r="J21" i="7"/>
  <c r="G6" i="10"/>
  <c r="G11" i="10" s="1"/>
  <c r="G9" i="10"/>
  <c r="M6" i="19"/>
  <c r="Q81" i="4"/>
  <c r="Q66" i="4"/>
  <c r="R13" i="7" s="1"/>
  <c r="C15" i="32"/>
  <c r="C17" i="32" s="1"/>
  <c r="C49" i="32"/>
  <c r="C32" i="32"/>
  <c r="C6" i="34"/>
  <c r="C7" i="34" s="1"/>
  <c r="C68" i="21"/>
  <c r="C20" i="32"/>
  <c r="C22" i="32" s="1"/>
  <c r="C24" i="32" s="1"/>
  <c r="C25" i="31"/>
  <c r="C61" i="25"/>
  <c r="J90" i="5"/>
  <c r="R67" i="4"/>
  <c r="R84" i="4"/>
  <c r="T54" i="4"/>
  <c r="S56" i="4"/>
  <c r="S57" i="4"/>
  <c r="P64" i="4"/>
  <c r="Q7" i="7"/>
  <c r="P75" i="4"/>
  <c r="P85" i="4" s="1"/>
  <c r="O18" i="8" s="1"/>
  <c r="P61" i="4"/>
  <c r="O68" i="4"/>
  <c r="P17" i="18" s="1"/>
  <c r="P8" i="7"/>
  <c r="P7" i="18"/>
  <c r="R55" i="6"/>
  <c r="Q56" i="6"/>
  <c r="Q114" i="6" s="1"/>
  <c r="Q57" i="6"/>
  <c r="R104" i="6"/>
  <c r="S103" i="6"/>
  <c r="R105" i="6"/>
  <c r="Q106" i="6"/>
  <c r="Q107" i="6" s="1"/>
  <c r="K7" i="19"/>
  <c r="K8" i="19" s="1"/>
  <c r="L44" i="6"/>
  <c r="U51" i="5"/>
  <c r="V50" i="5"/>
  <c r="O41" i="6"/>
  <c r="O16" i="6"/>
  <c r="O17" i="6" s="1"/>
  <c r="O42" i="6" s="1"/>
  <c r="N10" i="7" s="1"/>
  <c r="O108" i="6"/>
  <c r="N109" i="6"/>
  <c r="N119" i="6"/>
  <c r="N121" i="6" s="1"/>
  <c r="M119" i="6"/>
  <c r="M121" i="6" s="1"/>
  <c r="N70" i="4"/>
  <c r="P36" i="9" l="1"/>
  <c r="R26" i="9"/>
  <c r="Q27" i="9"/>
  <c r="Q32" i="9" s="1"/>
  <c r="Q34" i="9" s="1"/>
  <c r="Q35" i="9" s="1"/>
  <c r="Q145" i="5"/>
  <c r="O63" i="9"/>
  <c r="O64" i="9" s="1"/>
  <c r="P59" i="9"/>
  <c r="P61" i="9" s="1"/>
  <c r="P62" i="9" s="1"/>
  <c r="S54" i="9"/>
  <c r="T53" i="9"/>
  <c r="O7" i="10"/>
  <c r="Q20" i="9"/>
  <c r="Q22" i="9" s="1"/>
  <c r="Q23" i="9" s="1"/>
  <c r="P24" i="9"/>
  <c r="P37" i="9" s="1"/>
  <c r="P70" i="9" s="1"/>
  <c r="P75" i="9" s="1"/>
  <c r="O19" i="8"/>
  <c r="E38" i="21" s="1"/>
  <c r="P51" i="9"/>
  <c r="Q47" i="9"/>
  <c r="Q49" i="9" s="1"/>
  <c r="Q50" i="9" s="1"/>
  <c r="T11" i="5"/>
  <c r="S37" i="5"/>
  <c r="Q111" i="5"/>
  <c r="S64" i="5"/>
  <c r="T63" i="5"/>
  <c r="R43" i="1"/>
  <c r="R53" i="1"/>
  <c r="S32" i="1"/>
  <c r="T76" i="5"/>
  <c r="S77" i="5"/>
  <c r="T24" i="5"/>
  <c r="S28" i="5"/>
  <c r="S29" i="5" s="1"/>
  <c r="S93" i="5" s="1"/>
  <c r="T39" i="10" s="1"/>
  <c r="S44" i="5"/>
  <c r="T54" i="5"/>
  <c r="S55" i="5"/>
  <c r="R19" i="5"/>
  <c r="R84" i="5" s="1"/>
  <c r="S34" i="10" s="1"/>
  <c r="R107" i="5"/>
  <c r="R135" i="5"/>
  <c r="R36" i="5"/>
  <c r="R32" i="5"/>
  <c r="S31" i="1"/>
  <c r="R51" i="1"/>
  <c r="R59" i="1" s="1"/>
  <c r="R42" i="1"/>
  <c r="R52" i="1"/>
  <c r="R34" i="1"/>
  <c r="T41" i="10" s="1"/>
  <c r="Q84" i="1"/>
  <c r="Q76" i="1"/>
  <c r="R40" i="5"/>
  <c r="R109" i="5"/>
  <c r="R137" i="5"/>
  <c r="Q55" i="1"/>
  <c r="Q58" i="1"/>
  <c r="R138" i="5"/>
  <c r="R110" i="5"/>
  <c r="R42" i="5"/>
  <c r="R126" i="5"/>
  <c r="R96" i="5"/>
  <c r="R87" i="5"/>
  <c r="R154" i="5"/>
  <c r="S75" i="5"/>
  <c r="T74" i="5"/>
  <c r="S78" i="5"/>
  <c r="Q96" i="5"/>
  <c r="K84" i="9"/>
  <c r="L83" i="9"/>
  <c r="R39" i="1"/>
  <c r="S27" i="1"/>
  <c r="R49" i="1"/>
  <c r="R47" i="5"/>
  <c r="R144" i="5"/>
  <c r="R116" i="5"/>
  <c r="S28" i="1"/>
  <c r="R50" i="1"/>
  <c r="R40" i="1"/>
  <c r="R14" i="7"/>
  <c r="H6" i="10"/>
  <c r="H11" i="10" s="1"/>
  <c r="R91" i="6"/>
  <c r="R9" i="7"/>
  <c r="O8" i="10"/>
  <c r="U58" i="9"/>
  <c r="U32" i="19"/>
  <c r="F34" i="21" s="1"/>
  <c r="R108" i="5"/>
  <c r="R136" i="5"/>
  <c r="R38" i="5"/>
  <c r="Q33" i="5"/>
  <c r="Q139" i="5"/>
  <c r="Q155" i="5" s="1"/>
  <c r="O16" i="8" s="1"/>
  <c r="P83" i="1"/>
  <c r="P85" i="1" s="1"/>
  <c r="O17" i="8" s="1"/>
  <c r="E36" i="21" s="1"/>
  <c r="P75" i="1"/>
  <c r="P77" i="1" s="1"/>
  <c r="O11" i="8" s="1"/>
  <c r="E13" i="21" s="1"/>
  <c r="P60" i="1"/>
  <c r="O61" i="1"/>
  <c r="P5" i="18"/>
  <c r="N72" i="9"/>
  <c r="O4" i="7"/>
  <c r="N87" i="1"/>
  <c r="O10" i="18"/>
  <c r="O12" i="18" s="1"/>
  <c r="O13" i="18" s="1"/>
  <c r="O14" i="18" s="1"/>
  <c r="O15" i="18" s="1"/>
  <c r="O16" i="18" s="1"/>
  <c r="O13" i="19" s="1"/>
  <c r="R9" i="9"/>
  <c r="Q69" i="9"/>
  <c r="R45" i="5"/>
  <c r="R115" i="5"/>
  <c r="R117" i="5" s="1"/>
  <c r="R143" i="5"/>
  <c r="R145" i="5" s="1"/>
  <c r="T8" i="5"/>
  <c r="S35" i="5"/>
  <c r="S18" i="5"/>
  <c r="S19" i="5" s="1"/>
  <c r="S84" i="5" s="1"/>
  <c r="T14" i="5"/>
  <c r="S39" i="5"/>
  <c r="U29" i="19"/>
  <c r="F30" i="21" s="1"/>
  <c r="U31" i="9"/>
  <c r="R38" i="1"/>
  <c r="S26" i="1"/>
  <c r="R47" i="1"/>
  <c r="R48" i="1"/>
  <c r="R29" i="1"/>
  <c r="T36" i="10" s="1"/>
  <c r="S33" i="1"/>
  <c r="R44" i="1"/>
  <c r="R54" i="1"/>
  <c r="Q14" i="7"/>
  <c r="E61" i="21" s="1"/>
  <c r="S41" i="5"/>
  <c r="T17" i="5"/>
  <c r="AC96" i="5"/>
  <c r="J103" i="10" s="1"/>
  <c r="T56" i="5"/>
  <c r="S57" i="5"/>
  <c r="O71" i="9"/>
  <c r="T27" i="5"/>
  <c r="S46" i="5"/>
  <c r="E15" i="23"/>
  <c r="D15" i="26"/>
  <c r="T34" i="10"/>
  <c r="S88" i="6"/>
  <c r="T87" i="6"/>
  <c r="S89" i="6"/>
  <c r="R123" i="5"/>
  <c r="R95" i="5"/>
  <c r="R151" i="5"/>
  <c r="R86" i="5"/>
  <c r="Q127" i="5"/>
  <c r="O12" i="8" s="1"/>
  <c r="E14" i="21" s="1"/>
  <c r="R8" i="18"/>
  <c r="R120" i="5"/>
  <c r="R85" i="5"/>
  <c r="R148" i="5"/>
  <c r="R94" i="5"/>
  <c r="T52" i="5"/>
  <c r="S53" i="5"/>
  <c r="S59" i="5" s="1"/>
  <c r="S58" i="5"/>
  <c r="S66" i="5"/>
  <c r="T65" i="5"/>
  <c r="S67" i="5"/>
  <c r="V13" i="5"/>
  <c r="H25" i="19"/>
  <c r="H27" i="19" s="1"/>
  <c r="H36" i="19" s="1"/>
  <c r="N5" i="7"/>
  <c r="N12" i="7" s="1"/>
  <c r="N16" i="7" s="1"/>
  <c r="O92" i="5"/>
  <c r="O83" i="5"/>
  <c r="L89" i="5"/>
  <c r="L98" i="5"/>
  <c r="L99" i="5" s="1"/>
  <c r="L17" i="7"/>
  <c r="L18" i="18"/>
  <c r="P108" i="6"/>
  <c r="O109" i="6"/>
  <c r="N6" i="19"/>
  <c r="V51" i="5"/>
  <c r="W50" i="5"/>
  <c r="R106" i="6"/>
  <c r="R107" i="6" s="1"/>
  <c r="Q7" i="18"/>
  <c r="S84" i="4"/>
  <c r="S67" i="4"/>
  <c r="U54" i="4"/>
  <c r="T56" i="4"/>
  <c r="T57" i="4"/>
  <c r="I67" i="1"/>
  <c r="K35" i="10"/>
  <c r="C11" i="34"/>
  <c r="C66" i="25"/>
  <c r="I19" i="18"/>
  <c r="I9" i="18" s="1"/>
  <c r="I4" i="18" s="1"/>
  <c r="I25" i="7"/>
  <c r="I28" i="7" s="1"/>
  <c r="I29" i="7" s="1"/>
  <c r="L7" i="19"/>
  <c r="L8" i="19" s="1"/>
  <c r="M44" i="6"/>
  <c r="R30" i="6"/>
  <c r="S29" i="6"/>
  <c r="R31" i="6"/>
  <c r="Q75" i="4"/>
  <c r="Q85" i="4" s="1"/>
  <c r="P18" i="8" s="1"/>
  <c r="Q64" i="4"/>
  <c r="Q61" i="4"/>
  <c r="R7" i="7"/>
  <c r="S15" i="4"/>
  <c r="R17" i="4"/>
  <c r="R60" i="4" s="1"/>
  <c r="R18" i="4"/>
  <c r="J68" i="1"/>
  <c r="L40" i="10"/>
  <c r="Q92" i="6"/>
  <c r="P93" i="6"/>
  <c r="S43" i="4"/>
  <c r="T38" i="4"/>
  <c r="S44" i="4"/>
  <c r="P60" i="6"/>
  <c r="O117" i="6"/>
  <c r="O118" i="6" s="1"/>
  <c r="O119" i="6" s="1"/>
  <c r="O121" i="6" s="1"/>
  <c r="O61" i="6"/>
  <c r="M5" i="7"/>
  <c r="M12" i="7" s="1"/>
  <c r="M16" i="7" s="1"/>
  <c r="D56" i="21"/>
  <c r="P76" i="6"/>
  <c r="O77" i="6"/>
  <c r="R74" i="6"/>
  <c r="R75" i="6" s="1"/>
  <c r="C31" i="27"/>
  <c r="C11" i="27"/>
  <c r="C22" i="27"/>
  <c r="C24" i="27" s="1"/>
  <c r="O70" i="4"/>
  <c r="E53" i="21"/>
  <c r="G35" i="18"/>
  <c r="M98" i="5"/>
  <c r="M99" i="5" s="1"/>
  <c r="M17" i="7"/>
  <c r="M89" i="5"/>
  <c r="M90" i="5" s="1"/>
  <c r="M18" i="18"/>
  <c r="T103" i="6"/>
  <c r="S105" i="6"/>
  <c r="S104" i="6"/>
  <c r="Q58" i="6"/>
  <c r="Q59" i="6" s="1"/>
  <c r="Q116" i="6" s="1"/>
  <c r="Q115" i="6"/>
  <c r="R56" i="6"/>
  <c r="R114" i="6" s="1"/>
  <c r="R57" i="6"/>
  <c r="S55" i="6"/>
  <c r="E37" i="21"/>
  <c r="P68" i="4"/>
  <c r="Q17" i="18" s="1"/>
  <c r="Q8" i="7"/>
  <c r="G10" i="10"/>
  <c r="G12" i="10" s="1"/>
  <c r="H10" i="10"/>
  <c r="H12" i="10" s="1"/>
  <c r="J22" i="7"/>
  <c r="J23" i="7" s="1"/>
  <c r="K21" i="7"/>
  <c r="J52" i="10"/>
  <c r="J54" i="10" s="1"/>
  <c r="J55" i="10"/>
  <c r="R13" i="6"/>
  <c r="Q14" i="6"/>
  <c r="Q40" i="6" s="1"/>
  <c r="P9" i="19" s="1"/>
  <c r="Q15" i="6"/>
  <c r="P16" i="6"/>
  <c r="P17" i="6" s="1"/>
  <c r="P42" i="6" s="1"/>
  <c r="O10" i="7" s="1"/>
  <c r="O5" i="7" s="1"/>
  <c r="O12" i="7" s="1"/>
  <c r="O16" i="7" s="1"/>
  <c r="P41" i="6"/>
  <c r="N43" i="6"/>
  <c r="O18" i="6"/>
  <c r="N19" i="6"/>
  <c r="O88" i="5"/>
  <c r="O97" i="5"/>
  <c r="Q32" i="6"/>
  <c r="Q33" i="6" s="1"/>
  <c r="Q34" i="6" s="1"/>
  <c r="Q35" i="6" s="1"/>
  <c r="L35" i="10"/>
  <c r="J67" i="1"/>
  <c r="I68" i="1"/>
  <c r="K40" i="10"/>
  <c r="R65" i="4"/>
  <c r="S9" i="7" s="1"/>
  <c r="R78" i="4"/>
  <c r="T25" i="4"/>
  <c r="S30" i="4"/>
  <c r="S31" i="4"/>
  <c r="R66" i="4"/>
  <c r="R81" i="4"/>
  <c r="D7" i="21"/>
  <c r="E66" i="9"/>
  <c r="F14" i="19"/>
  <c r="F15" i="19" s="1"/>
  <c r="F17" i="19" s="1"/>
  <c r="F38" i="19" s="1"/>
  <c r="T71" i="6"/>
  <c r="S73" i="6"/>
  <c r="S72" i="6"/>
  <c r="I5" i="10"/>
  <c r="H34" i="18"/>
  <c r="G6" i="8"/>
  <c r="G7" i="8" s="1"/>
  <c r="I24" i="18" s="1"/>
  <c r="I22" i="18" s="1"/>
  <c r="I12" i="19"/>
  <c r="C70" i="21"/>
  <c r="Q36" i="9" l="1"/>
  <c r="P63" i="9"/>
  <c r="P64" i="9" s="1"/>
  <c r="Q59" i="9"/>
  <c r="Q61" i="9" s="1"/>
  <c r="Q62" i="9" s="1"/>
  <c r="R27" i="9"/>
  <c r="R32" i="9" s="1"/>
  <c r="R34" i="9" s="1"/>
  <c r="R35" i="9" s="1"/>
  <c r="S26" i="9"/>
  <c r="T54" i="9"/>
  <c r="U53" i="9"/>
  <c r="E35" i="21"/>
  <c r="O20" i="8"/>
  <c r="O5" i="8" s="1"/>
  <c r="Q33" i="19" s="1"/>
  <c r="Q34" i="19" s="1"/>
  <c r="Q51" i="9"/>
  <c r="R47" i="9"/>
  <c r="R49" i="9" s="1"/>
  <c r="R50" i="9" s="1"/>
  <c r="Q24" i="9"/>
  <c r="Q37" i="9" s="1"/>
  <c r="Q70" i="9" s="1"/>
  <c r="Q75" i="9" s="1"/>
  <c r="R20" i="9"/>
  <c r="R22" i="9" s="1"/>
  <c r="R23" i="9" s="1"/>
  <c r="P19" i="8"/>
  <c r="S144" i="5"/>
  <c r="S47" i="5"/>
  <c r="S116" i="5"/>
  <c r="O72" i="9"/>
  <c r="O73" i="9" s="1"/>
  <c r="U56" i="5"/>
  <c r="T57" i="5"/>
  <c r="U17" i="5"/>
  <c r="T41" i="5"/>
  <c r="E58" i="26"/>
  <c r="E57" i="23"/>
  <c r="R58" i="1"/>
  <c r="R55" i="1"/>
  <c r="G29" i="23"/>
  <c r="F31" i="21"/>
  <c r="F30" i="26"/>
  <c r="U14" i="5"/>
  <c r="T39" i="5"/>
  <c r="S36" i="5"/>
  <c r="S107" i="5"/>
  <c r="S135" i="5"/>
  <c r="S32" i="5"/>
  <c r="R69" i="9"/>
  <c r="S9" i="9"/>
  <c r="Q5" i="18"/>
  <c r="P61" i="1"/>
  <c r="F35" i="23"/>
  <c r="E36" i="26"/>
  <c r="Q6" i="7"/>
  <c r="E52" i="21" s="1"/>
  <c r="Q11" i="18"/>
  <c r="F34" i="26"/>
  <c r="G33" i="23"/>
  <c r="S40" i="1"/>
  <c r="T28" i="1"/>
  <c r="S50" i="1"/>
  <c r="S154" i="5"/>
  <c r="S126" i="5"/>
  <c r="Q75" i="1"/>
  <c r="Q77" i="1" s="1"/>
  <c r="P11" i="8" s="1"/>
  <c r="Q83" i="1"/>
  <c r="Q85" i="1" s="1"/>
  <c r="P17" i="8" s="1"/>
  <c r="Q60" i="1"/>
  <c r="R139" i="5"/>
  <c r="R84" i="1"/>
  <c r="R76" i="1"/>
  <c r="R6" i="18"/>
  <c r="S115" i="5"/>
  <c r="S117" i="5" s="1"/>
  <c r="S45" i="5"/>
  <c r="S143" i="5"/>
  <c r="S145" i="5" s="1"/>
  <c r="U24" i="5"/>
  <c r="T44" i="5"/>
  <c r="T28" i="5"/>
  <c r="T29" i="5" s="1"/>
  <c r="T93" i="5" s="1"/>
  <c r="U39" i="10" s="1"/>
  <c r="S79" i="5"/>
  <c r="S87" i="5" s="1"/>
  <c r="S53" i="1"/>
  <c r="S43" i="1"/>
  <c r="T32" i="1"/>
  <c r="S38" i="5"/>
  <c r="S108" i="5"/>
  <c r="S136" i="5"/>
  <c r="J69" i="1"/>
  <c r="I10" i="8" s="1"/>
  <c r="I13" i="8" s="1"/>
  <c r="I4" i="8" s="1"/>
  <c r="S68" i="5"/>
  <c r="S13" i="7" s="1"/>
  <c r="R155" i="5"/>
  <c r="P16" i="8" s="1"/>
  <c r="P20" i="8" s="1"/>
  <c r="P5" i="8" s="1"/>
  <c r="R33" i="19" s="1"/>
  <c r="R34" i="19" s="1"/>
  <c r="U27" i="5"/>
  <c r="T46" i="5"/>
  <c r="S110" i="5"/>
  <c r="S42" i="5"/>
  <c r="S138" i="5"/>
  <c r="S44" i="1"/>
  <c r="S54" i="1"/>
  <c r="T33" i="1"/>
  <c r="S38" i="1"/>
  <c r="S48" i="1"/>
  <c r="S47" i="1"/>
  <c r="T26" i="1"/>
  <c r="S29" i="1"/>
  <c r="U36" i="10" s="1"/>
  <c r="V31" i="9"/>
  <c r="V29" i="19"/>
  <c r="S137" i="5"/>
  <c r="S40" i="5"/>
  <c r="S109" i="5"/>
  <c r="S111" i="5" s="1"/>
  <c r="U8" i="5"/>
  <c r="T35" i="5"/>
  <c r="T18" i="5"/>
  <c r="T19" i="5" s="1"/>
  <c r="T84" i="5" s="1"/>
  <c r="U34" i="10" s="1"/>
  <c r="Q71" i="9"/>
  <c r="N73" i="9"/>
  <c r="N76" i="9" s="1"/>
  <c r="P4" i="7"/>
  <c r="O87" i="1"/>
  <c r="P10" i="18"/>
  <c r="P12" i="18" s="1"/>
  <c r="E13" i="26"/>
  <c r="E21" i="28"/>
  <c r="E13" i="23"/>
  <c r="E23" i="27"/>
  <c r="E25" i="28"/>
  <c r="V58" i="9"/>
  <c r="V32" i="19"/>
  <c r="S14" i="7"/>
  <c r="S49" i="1"/>
  <c r="S39" i="1"/>
  <c r="T27" i="1"/>
  <c r="M83" i="9"/>
  <c r="L84" i="9"/>
  <c r="T75" i="5"/>
  <c r="U74" i="5"/>
  <c r="T78" i="5"/>
  <c r="R111" i="5"/>
  <c r="R127" i="5" s="1"/>
  <c r="P12" i="8" s="1"/>
  <c r="S52" i="1"/>
  <c r="S51" i="1"/>
  <c r="S59" i="1" s="1"/>
  <c r="T31" i="1"/>
  <c r="S42" i="1"/>
  <c r="S34" i="1"/>
  <c r="U41" i="10" s="1"/>
  <c r="R33" i="5"/>
  <c r="R11" i="18" s="1"/>
  <c r="U54" i="5"/>
  <c r="T55" i="5"/>
  <c r="P71" i="9"/>
  <c r="T77" i="5"/>
  <c r="T79" i="5" s="1"/>
  <c r="U76" i="5"/>
  <c r="U63" i="5"/>
  <c r="T64" i="5"/>
  <c r="U11" i="5"/>
  <c r="T37" i="5"/>
  <c r="E38" i="26"/>
  <c r="E37" i="23"/>
  <c r="S151" i="5"/>
  <c r="S86" i="5"/>
  <c r="S95" i="5"/>
  <c r="S123" i="5"/>
  <c r="S85" i="5"/>
  <c r="S148" i="5"/>
  <c r="S120" i="5"/>
  <c r="S8" i="18"/>
  <c r="S94" i="5"/>
  <c r="T53" i="5"/>
  <c r="T59" i="5" s="1"/>
  <c r="U52" i="5"/>
  <c r="T58" i="5"/>
  <c r="U87" i="6"/>
  <c r="T89" i="6"/>
  <c r="T88" i="6"/>
  <c r="W13" i="5"/>
  <c r="U65" i="5"/>
  <c r="T66" i="5"/>
  <c r="T68" i="5" s="1"/>
  <c r="T67" i="5"/>
  <c r="E14" i="26"/>
  <c r="E14" i="23"/>
  <c r="S90" i="6"/>
  <c r="S91" i="6" s="1"/>
  <c r="I25" i="19"/>
  <c r="C68" i="25"/>
  <c r="I9" i="10"/>
  <c r="I6" i="10"/>
  <c r="I11" i="10" s="1"/>
  <c r="S74" i="6"/>
  <c r="S75" i="6" s="1"/>
  <c r="N89" i="5"/>
  <c r="N17" i="7"/>
  <c r="N98" i="5"/>
  <c r="N18" i="18"/>
  <c r="L45" i="10"/>
  <c r="L47" i="10"/>
  <c r="M7" i="19"/>
  <c r="M8" i="19" s="1"/>
  <c r="N44" i="6"/>
  <c r="D6" i="21" s="1"/>
  <c r="K22" i="7"/>
  <c r="K23" i="7" s="1"/>
  <c r="T55" i="6"/>
  <c r="S56" i="6"/>
  <c r="S114" i="6" s="1"/>
  <c r="S57" i="6"/>
  <c r="P97" i="5"/>
  <c r="P88" i="5"/>
  <c r="S106" i="6"/>
  <c r="S107" i="6" s="1"/>
  <c r="N35" i="10"/>
  <c r="L67" i="1"/>
  <c r="N40" i="10"/>
  <c r="L68" i="1"/>
  <c r="G14" i="19"/>
  <c r="G15" i="19" s="1"/>
  <c r="G17" i="19" s="1"/>
  <c r="G38" i="19" s="1"/>
  <c r="F66" i="9"/>
  <c r="E50" i="26"/>
  <c r="E49" i="23"/>
  <c r="P83" i="5"/>
  <c r="P92" i="5"/>
  <c r="D21" i="32"/>
  <c r="D53" i="26"/>
  <c r="D54" i="25"/>
  <c r="D52" i="23"/>
  <c r="D51" i="21"/>
  <c r="Q60" i="6"/>
  <c r="P117" i="6"/>
  <c r="P118" i="6" s="1"/>
  <c r="P61" i="6"/>
  <c r="U38" i="4"/>
  <c r="T43" i="4"/>
  <c r="T44" i="4"/>
  <c r="L53" i="10"/>
  <c r="L51" i="10"/>
  <c r="R61" i="4"/>
  <c r="R75" i="4"/>
  <c r="R85" i="4" s="1"/>
  <c r="Q18" i="8" s="1"/>
  <c r="R64" i="4"/>
  <c r="S7" i="7"/>
  <c r="S17" i="4"/>
  <c r="S60" i="4" s="1"/>
  <c r="T15" i="4"/>
  <c r="S18" i="4"/>
  <c r="R7" i="18"/>
  <c r="T29" i="6"/>
  <c r="S31" i="6"/>
  <c r="S30" i="6"/>
  <c r="K47" i="10"/>
  <c r="K45" i="10"/>
  <c r="T67" i="4"/>
  <c r="T84" i="4"/>
  <c r="V54" i="4"/>
  <c r="U56" i="4"/>
  <c r="U57" i="4"/>
  <c r="M40" i="10"/>
  <c r="K68" i="1"/>
  <c r="AB98" i="5"/>
  <c r="P70" i="4"/>
  <c r="H35" i="18"/>
  <c r="U71" i="6"/>
  <c r="T73" i="6"/>
  <c r="T72" i="6"/>
  <c r="E7" i="23"/>
  <c r="D58" i="28"/>
  <c r="D7" i="26"/>
  <c r="S78" i="4"/>
  <c r="S65" i="4"/>
  <c r="T9" i="7" s="1"/>
  <c r="U25" i="4"/>
  <c r="T30" i="4"/>
  <c r="T31" i="4"/>
  <c r="K51" i="10"/>
  <c r="K53" i="10"/>
  <c r="I6" i="8"/>
  <c r="K12" i="19"/>
  <c r="P18" i="6"/>
  <c r="O43" i="6"/>
  <c r="O19" i="6"/>
  <c r="O6" i="19"/>
  <c r="Q16" i="6"/>
  <c r="Q17" i="6" s="1"/>
  <c r="Q42" i="6" s="1"/>
  <c r="P10" i="7" s="1"/>
  <c r="Q41" i="6"/>
  <c r="R14" i="6"/>
  <c r="R40" i="6" s="1"/>
  <c r="Q9" i="19" s="1"/>
  <c r="E8" i="21" s="1"/>
  <c r="R15" i="6"/>
  <c r="S13" i="6"/>
  <c r="J19" i="18"/>
  <c r="J9" i="18" s="1"/>
  <c r="J4" i="18" s="1"/>
  <c r="J25" i="7"/>
  <c r="J28" i="7" s="1"/>
  <c r="J29" i="7" s="1"/>
  <c r="F36" i="23"/>
  <c r="E37" i="26"/>
  <c r="E39" i="21"/>
  <c r="R115" i="6"/>
  <c r="R58" i="6"/>
  <c r="R59" i="6" s="1"/>
  <c r="R116" i="6" s="1"/>
  <c r="T104" i="6"/>
  <c r="U103" i="6"/>
  <c r="T105" i="6"/>
  <c r="Q76" i="6"/>
  <c r="P77" i="6"/>
  <c r="S81" i="4"/>
  <c r="S66" i="4"/>
  <c r="T13" i="7"/>
  <c r="Q93" i="6"/>
  <c r="R92" i="6"/>
  <c r="Q68" i="4"/>
  <c r="R17" i="18" s="1"/>
  <c r="R8" i="7"/>
  <c r="R32" i="6"/>
  <c r="R33" i="6" s="1"/>
  <c r="R34" i="6" s="1"/>
  <c r="R35" i="6" s="1"/>
  <c r="J5" i="10"/>
  <c r="J9" i="10" s="1"/>
  <c r="I34" i="18"/>
  <c r="W51" i="5"/>
  <c r="X50" i="5"/>
  <c r="Q108" i="6"/>
  <c r="P109" i="6"/>
  <c r="L20" i="7"/>
  <c r="D65" i="21"/>
  <c r="L90" i="5"/>
  <c r="AB89" i="5"/>
  <c r="E54" i="21"/>
  <c r="M20" i="7"/>
  <c r="P119" i="6"/>
  <c r="P121" i="6" s="1"/>
  <c r="C72" i="21"/>
  <c r="I69" i="1"/>
  <c r="H10" i="8" s="1"/>
  <c r="H13" i="8" s="1"/>
  <c r="H4" i="8" s="1"/>
  <c r="N20" i="7"/>
  <c r="R36" i="9" l="1"/>
  <c r="V53" i="9"/>
  <c r="U54" i="9"/>
  <c r="Q63" i="9"/>
  <c r="R59" i="9"/>
  <c r="R61" i="9" s="1"/>
  <c r="R62" i="9" s="1"/>
  <c r="T87" i="5"/>
  <c r="Q64" i="9"/>
  <c r="T26" i="9"/>
  <c r="S27" i="9"/>
  <c r="S32" i="9" s="1"/>
  <c r="S34" i="9" s="1"/>
  <c r="S35" i="9" s="1"/>
  <c r="R51" i="9"/>
  <c r="S47" i="9"/>
  <c r="S49" i="9" s="1"/>
  <c r="S50" i="9" s="1"/>
  <c r="P7" i="10"/>
  <c r="P8" i="10" s="1"/>
  <c r="V11" i="5"/>
  <c r="U37" i="5"/>
  <c r="V63" i="5"/>
  <c r="U64" i="5"/>
  <c r="S76" i="1"/>
  <c r="S84" i="1"/>
  <c r="U75" i="5"/>
  <c r="V74" i="5"/>
  <c r="U78" i="5"/>
  <c r="U27" i="1"/>
  <c r="T49" i="1"/>
  <c r="T39" i="1"/>
  <c r="U35" i="5"/>
  <c r="V8" i="5"/>
  <c r="U18" i="5"/>
  <c r="U19" i="5" s="1"/>
  <c r="U84" i="5" s="1"/>
  <c r="S58" i="1"/>
  <c r="S55" i="1"/>
  <c r="V27" i="5"/>
  <c r="U46" i="5"/>
  <c r="T45" i="5"/>
  <c r="T115" i="5"/>
  <c r="T143" i="5"/>
  <c r="R5" i="18"/>
  <c r="Q61" i="1"/>
  <c r="S96" i="5"/>
  <c r="T50" i="1"/>
  <c r="U28" i="1"/>
  <c r="T40" i="1"/>
  <c r="P87" i="1"/>
  <c r="Q10" i="18"/>
  <c r="Q12" i="18" s="1"/>
  <c r="Q4" i="7"/>
  <c r="E49" i="21" s="1"/>
  <c r="S69" i="9"/>
  <c r="T9" i="9"/>
  <c r="S6" i="18"/>
  <c r="T40" i="5"/>
  <c r="T109" i="5"/>
  <c r="T137" i="5"/>
  <c r="R83" i="1"/>
  <c r="R85" i="1" s="1"/>
  <c r="Q17" i="8" s="1"/>
  <c r="R60" i="1"/>
  <c r="R75" i="1"/>
  <c r="R77" i="1" s="1"/>
  <c r="Q11" i="8" s="1"/>
  <c r="U41" i="5"/>
  <c r="V17" i="5"/>
  <c r="V56" i="5"/>
  <c r="U57" i="5"/>
  <c r="R24" i="9"/>
  <c r="R37" i="9" s="1"/>
  <c r="R70" i="9" s="1"/>
  <c r="R75" i="9" s="1"/>
  <c r="Q19" i="8"/>
  <c r="S20" i="9"/>
  <c r="S22" i="9" s="1"/>
  <c r="S23" i="9" s="1"/>
  <c r="T136" i="5"/>
  <c r="T38" i="5"/>
  <c r="T108" i="5"/>
  <c r="V76" i="5"/>
  <c r="U77" i="5"/>
  <c r="U79" i="5" s="1"/>
  <c r="P72" i="9"/>
  <c r="U55" i="5"/>
  <c r="V54" i="5"/>
  <c r="T52" i="1"/>
  <c r="U31" i="1"/>
  <c r="T51" i="1"/>
  <c r="T59" i="1" s="1"/>
  <c r="T42" i="1"/>
  <c r="T34" i="1"/>
  <c r="V41" i="10" s="1"/>
  <c r="T96" i="5"/>
  <c r="T126" i="5"/>
  <c r="T154" i="5"/>
  <c r="M84" i="9"/>
  <c r="N83" i="9"/>
  <c r="W58" i="9"/>
  <c r="W32" i="19"/>
  <c r="P13" i="18"/>
  <c r="P14" i="18" s="1"/>
  <c r="P15" i="18" s="1"/>
  <c r="P16" i="18" s="1"/>
  <c r="P13" i="19" s="1"/>
  <c r="Q72" i="9"/>
  <c r="Q76" i="9" s="1"/>
  <c r="Q73" i="9"/>
  <c r="T36" i="5"/>
  <c r="T107" i="5"/>
  <c r="T135" i="5"/>
  <c r="T32" i="5"/>
  <c r="S139" i="5"/>
  <c r="S155" i="5" s="1"/>
  <c r="Q16" i="8" s="1"/>
  <c r="Q20" i="8" s="1"/>
  <c r="Q5" i="8" s="1"/>
  <c r="S33" i="19" s="1"/>
  <c r="S34" i="19" s="1"/>
  <c r="W31" i="9"/>
  <c r="W29" i="19"/>
  <c r="T48" i="1"/>
  <c r="U26" i="1"/>
  <c r="T38" i="1"/>
  <c r="T47" i="1"/>
  <c r="T29" i="1"/>
  <c r="V36" i="10" s="1"/>
  <c r="T54" i="1"/>
  <c r="T44" i="1"/>
  <c r="U33" i="1"/>
  <c r="T116" i="5"/>
  <c r="T144" i="5"/>
  <c r="T47" i="5"/>
  <c r="T43" i="1"/>
  <c r="T53" i="1"/>
  <c r="U32" i="1"/>
  <c r="U44" i="5"/>
  <c r="U28" i="5"/>
  <c r="V24" i="5"/>
  <c r="R6" i="7"/>
  <c r="E48" i="23"/>
  <c r="E49" i="26"/>
  <c r="R71" i="9"/>
  <c r="S33" i="5"/>
  <c r="S11" i="18" s="1"/>
  <c r="V14" i="5"/>
  <c r="U39" i="5"/>
  <c r="F31" i="26"/>
  <c r="G30" i="23"/>
  <c r="T138" i="5"/>
  <c r="T42" i="5"/>
  <c r="T110" i="5"/>
  <c r="O76" i="9"/>
  <c r="Q7" i="10" s="1"/>
  <c r="T14" i="7"/>
  <c r="F34" i="23"/>
  <c r="E35" i="26"/>
  <c r="E21" i="27"/>
  <c r="E31" i="28"/>
  <c r="E32" i="28" s="1"/>
  <c r="E35" i="28"/>
  <c r="V34" i="10"/>
  <c r="AD84" i="5"/>
  <c r="L91" i="10" s="1"/>
  <c r="T123" i="5"/>
  <c r="T95" i="5"/>
  <c r="T151" i="5"/>
  <c r="T86" i="5"/>
  <c r="V65" i="5"/>
  <c r="U66" i="5"/>
  <c r="U68" i="5" s="1"/>
  <c r="U67" i="5"/>
  <c r="U88" i="6"/>
  <c r="V87" i="6"/>
  <c r="U89" i="6"/>
  <c r="T8" i="18"/>
  <c r="T120" i="5"/>
  <c r="T85" i="5"/>
  <c r="T148" i="5"/>
  <c r="T94" i="5"/>
  <c r="X13" i="5"/>
  <c r="T90" i="6"/>
  <c r="T91" i="6" s="1"/>
  <c r="U53" i="5"/>
  <c r="U59" i="5" s="1"/>
  <c r="V52" i="5"/>
  <c r="U58" i="5"/>
  <c r="S127" i="5"/>
  <c r="Q12" i="8" s="1"/>
  <c r="J25" i="19"/>
  <c r="J27" i="19" s="1"/>
  <c r="J36" i="19" s="1"/>
  <c r="Q97" i="5"/>
  <c r="Q88" i="5"/>
  <c r="P5" i="7"/>
  <c r="P12" i="7" s="1"/>
  <c r="P16" i="7" s="1"/>
  <c r="AC97" i="5"/>
  <c r="J104" i="10" s="1"/>
  <c r="H96" i="10"/>
  <c r="I96" i="10" s="1"/>
  <c r="AB90" i="5"/>
  <c r="H97" i="10" s="1"/>
  <c r="E61" i="23"/>
  <c r="D62" i="26"/>
  <c r="D63" i="25"/>
  <c r="S92" i="6"/>
  <c r="R93" i="6"/>
  <c r="R76" i="6"/>
  <c r="Q77" i="6"/>
  <c r="U105" i="6"/>
  <c r="U104" i="6"/>
  <c r="V103" i="6"/>
  <c r="E39" i="26"/>
  <c r="E6" i="27"/>
  <c r="E37" i="27"/>
  <c r="E17" i="27"/>
  <c r="E12" i="27"/>
  <c r="E20" i="31"/>
  <c r="E15" i="31"/>
  <c r="E38" i="23"/>
  <c r="T13" i="6"/>
  <c r="S15" i="6"/>
  <c r="S14" i="6"/>
  <c r="S40" i="6" s="1"/>
  <c r="R9" i="19" s="1"/>
  <c r="E8" i="26"/>
  <c r="E8" i="23"/>
  <c r="N7" i="19"/>
  <c r="N8" i="19" s="1"/>
  <c r="O44" i="6"/>
  <c r="T78" i="4"/>
  <c r="T65" i="4"/>
  <c r="V25" i="4"/>
  <c r="U30" i="4"/>
  <c r="U31" i="4"/>
  <c r="T74" i="6"/>
  <c r="T75" i="6" s="1"/>
  <c r="Q92" i="5"/>
  <c r="Q83" i="5"/>
  <c r="AC83" i="5" s="1"/>
  <c r="H105" i="10"/>
  <c r="I105" i="10" s="1"/>
  <c r="AB99" i="5"/>
  <c r="H106" i="10" s="1"/>
  <c r="S32" i="6"/>
  <c r="S33" i="6" s="1"/>
  <c r="S34" i="6" s="1"/>
  <c r="S35" i="6" s="1"/>
  <c r="S64" i="4"/>
  <c r="T7" i="7"/>
  <c r="S61" i="4"/>
  <c r="S75" i="4"/>
  <c r="S85" i="4" s="1"/>
  <c r="R18" i="8" s="1"/>
  <c r="R68" i="4"/>
  <c r="S17" i="18" s="1"/>
  <c r="S8" i="7"/>
  <c r="S7" i="18"/>
  <c r="R60" i="6"/>
  <c r="Q117" i="6"/>
  <c r="Q118" i="6" s="1"/>
  <c r="Q61" i="6"/>
  <c r="K19" i="18"/>
  <c r="K9" i="18" s="1"/>
  <c r="K4" i="18" s="1"/>
  <c r="K25" i="7"/>
  <c r="K28" i="7" s="1"/>
  <c r="K29" i="7" s="1"/>
  <c r="D6" i="26"/>
  <c r="D9" i="21"/>
  <c r="D6" i="23"/>
  <c r="I27" i="19"/>
  <c r="I36" i="19" s="1"/>
  <c r="C26" i="21"/>
  <c r="Q70" i="4"/>
  <c r="L69" i="1"/>
  <c r="K10" i="8" s="1"/>
  <c r="AC88" i="5"/>
  <c r="J95" i="10" s="1"/>
  <c r="G15" i="10"/>
  <c r="J12" i="19"/>
  <c r="H6" i="8"/>
  <c r="H7" i="8" s="1"/>
  <c r="J24" i="18" s="1"/>
  <c r="J22" i="18" s="1"/>
  <c r="J34" i="18" s="1"/>
  <c r="C73" i="21"/>
  <c r="C10" i="34"/>
  <c r="C12" i="34" s="1"/>
  <c r="C15" i="34" s="1"/>
  <c r="C16" i="34" s="1"/>
  <c r="C10" i="32"/>
  <c r="C12" i="32" s="1"/>
  <c r="C37" i="32"/>
  <c r="C27" i="32"/>
  <c r="C42" i="32"/>
  <c r="C70" i="25"/>
  <c r="O89" i="5"/>
  <c r="O90" i="5" s="1"/>
  <c r="O98" i="5"/>
  <c r="O99" i="5" s="1"/>
  <c r="O17" i="7"/>
  <c r="O20" i="7" s="1"/>
  <c r="O18" i="18"/>
  <c r="E51" i="26"/>
  <c r="E52" i="25"/>
  <c r="E50" i="23"/>
  <c r="M35" i="10"/>
  <c r="K67" i="1"/>
  <c r="K69" i="1" s="1"/>
  <c r="J10" i="8" s="1"/>
  <c r="J13" i="8" s="1"/>
  <c r="J4" i="8" s="1"/>
  <c r="R108" i="6"/>
  <c r="Q109" i="6"/>
  <c r="Y50" i="5"/>
  <c r="X51" i="5"/>
  <c r="T106" i="6"/>
  <c r="T107" i="6" s="1"/>
  <c r="K5" i="10"/>
  <c r="R41" i="6"/>
  <c r="R16" i="6"/>
  <c r="R17" i="6" s="1"/>
  <c r="R42" i="6" s="1"/>
  <c r="Q10" i="7" s="1"/>
  <c r="P6" i="19"/>
  <c r="Q18" i="6"/>
  <c r="P43" i="6"/>
  <c r="P19" i="6"/>
  <c r="K52" i="10"/>
  <c r="K54" i="10" s="1"/>
  <c r="K55" i="10"/>
  <c r="U73" i="6"/>
  <c r="U72" i="6"/>
  <c r="V71" i="6"/>
  <c r="H14" i="19"/>
  <c r="H15" i="19" s="1"/>
  <c r="H17" i="19" s="1"/>
  <c r="H38" i="19" s="1"/>
  <c r="G66" i="9"/>
  <c r="M51" i="10"/>
  <c r="M53" i="10"/>
  <c r="U67" i="4"/>
  <c r="U84" i="4"/>
  <c r="W54" i="4"/>
  <c r="V56" i="4"/>
  <c r="V57" i="4"/>
  <c r="K46" i="10"/>
  <c r="K48" i="10" s="1"/>
  <c r="K49" i="10"/>
  <c r="T30" i="6"/>
  <c r="U29" i="6"/>
  <c r="T31" i="6"/>
  <c r="U15" i="4"/>
  <c r="T18" i="4"/>
  <c r="T17" i="4"/>
  <c r="T60" i="4" s="1"/>
  <c r="L52" i="10"/>
  <c r="L54" i="10" s="1"/>
  <c r="L55" i="10"/>
  <c r="T66" i="4"/>
  <c r="U13" i="7" s="1"/>
  <c r="F60" i="21" s="1"/>
  <c r="T81" i="4"/>
  <c r="U43" i="4"/>
  <c r="V38" i="4"/>
  <c r="U44" i="4"/>
  <c r="D16" i="28"/>
  <c r="D36" i="28"/>
  <c r="D37" i="28" s="1"/>
  <c r="D42" i="28" s="1"/>
  <c r="D30" i="28"/>
  <c r="D48" i="26"/>
  <c r="D32" i="27"/>
  <c r="D10" i="28"/>
  <c r="D58" i="21"/>
  <c r="D49" i="25"/>
  <c r="D47" i="23"/>
  <c r="AC92" i="5"/>
  <c r="N53" i="10"/>
  <c r="N51" i="10"/>
  <c r="N47" i="10"/>
  <c r="N45" i="10"/>
  <c r="S58" i="6"/>
  <c r="S59" i="6" s="1"/>
  <c r="S116" i="6" s="1"/>
  <c r="S115" i="6"/>
  <c r="U55" i="6"/>
  <c r="T56" i="6"/>
  <c r="T114" i="6" s="1"/>
  <c r="T57" i="6"/>
  <c r="L46" i="10"/>
  <c r="L48" i="10" s="1"/>
  <c r="L49" i="10"/>
  <c r="N99" i="5"/>
  <c r="N90" i="5"/>
  <c r="J10" i="10"/>
  <c r="J12" i="10" s="1"/>
  <c r="I10" i="10"/>
  <c r="I12" i="10" s="1"/>
  <c r="I7" i="8"/>
  <c r="K24" i="18" s="1"/>
  <c r="K22" i="18" s="1"/>
  <c r="I35" i="18"/>
  <c r="Q119" i="6"/>
  <c r="Q121" i="6" s="1"/>
  <c r="L21" i="7"/>
  <c r="J6" i="10"/>
  <c r="J11" i="10" s="1"/>
  <c r="S36" i="9" l="1"/>
  <c r="R70" i="4"/>
  <c r="U9" i="7"/>
  <c r="F55" i="21" s="1"/>
  <c r="V54" i="9"/>
  <c r="W53" i="9"/>
  <c r="S59" i="9"/>
  <c r="S61" i="9" s="1"/>
  <c r="S62" i="9" s="1"/>
  <c r="R63" i="9"/>
  <c r="R64" i="9" s="1"/>
  <c r="U26" i="9"/>
  <c r="T27" i="9"/>
  <c r="T32" i="9" s="1"/>
  <c r="T34" i="9" s="1"/>
  <c r="T35" i="9" s="1"/>
  <c r="T20" i="9"/>
  <c r="T22" i="9" s="1"/>
  <c r="T23" i="9" s="1"/>
  <c r="S24" i="9"/>
  <c r="S37" i="9" s="1"/>
  <c r="S70" i="9" s="1"/>
  <c r="S75" i="9" s="1"/>
  <c r="S51" i="9"/>
  <c r="T47" i="9"/>
  <c r="T49" i="9" s="1"/>
  <c r="T50" i="9" s="1"/>
  <c r="Q13" i="18"/>
  <c r="Q14" i="18" s="1"/>
  <c r="Q15" i="18" s="1"/>
  <c r="Q16" i="18" s="1"/>
  <c r="Q13" i="19" s="1"/>
  <c r="E15" i="21" s="1"/>
  <c r="U40" i="5"/>
  <c r="U109" i="5"/>
  <c r="U137" i="5"/>
  <c r="U93" i="5"/>
  <c r="U29" i="5"/>
  <c r="U53" i="1"/>
  <c r="V32" i="1"/>
  <c r="U43" i="1"/>
  <c r="U54" i="1"/>
  <c r="V33" i="1"/>
  <c r="U44" i="1"/>
  <c r="T58" i="1"/>
  <c r="T55" i="1"/>
  <c r="V26" i="1"/>
  <c r="U47" i="1"/>
  <c r="U48" i="1"/>
  <c r="U38" i="1"/>
  <c r="U29" i="1"/>
  <c r="W36" i="10" s="1"/>
  <c r="T33" i="5"/>
  <c r="T11" i="18" s="1"/>
  <c r="S7" i="10"/>
  <c r="X58" i="9"/>
  <c r="X32" i="19"/>
  <c r="T84" i="1"/>
  <c r="T76" i="1"/>
  <c r="W76" i="5"/>
  <c r="V77" i="5"/>
  <c r="V57" i="5"/>
  <c r="W56" i="5"/>
  <c r="U42" i="5"/>
  <c r="U110" i="5"/>
  <c r="U138" i="5"/>
  <c r="S5" i="18"/>
  <c r="R61" i="1"/>
  <c r="T139" i="5"/>
  <c r="S71" i="9"/>
  <c r="U40" i="1"/>
  <c r="V28" i="1"/>
  <c r="U50" i="1"/>
  <c r="T117" i="5"/>
  <c r="U47" i="5"/>
  <c r="U116" i="5"/>
  <c r="U144" i="5"/>
  <c r="U107" i="5"/>
  <c r="U36" i="5"/>
  <c r="U135" i="5"/>
  <c r="U32" i="5"/>
  <c r="U126" i="5"/>
  <c r="U96" i="5"/>
  <c r="AD96" i="5" s="1"/>
  <c r="L103" i="10" s="1"/>
  <c r="U87" i="5"/>
  <c r="AD87" i="5" s="1"/>
  <c r="L94" i="10" s="1"/>
  <c r="U154" i="5"/>
  <c r="U14" i="7"/>
  <c r="F61" i="21" s="1"/>
  <c r="U108" i="5"/>
  <c r="U38" i="5"/>
  <c r="U136" i="5"/>
  <c r="Q8" i="10"/>
  <c r="W14" i="5"/>
  <c r="V39" i="5"/>
  <c r="R73" i="9"/>
  <c r="R72" i="9"/>
  <c r="R76" i="9" s="1"/>
  <c r="T7" i="10" s="1"/>
  <c r="V28" i="5"/>
  <c r="V44" i="5"/>
  <c r="W24" i="5"/>
  <c r="U143" i="5"/>
  <c r="U145" i="5" s="1"/>
  <c r="U45" i="5"/>
  <c r="U115" i="5"/>
  <c r="U117" i="5" s="1"/>
  <c r="X31" i="9"/>
  <c r="X29" i="19"/>
  <c r="T6" i="7"/>
  <c r="T6" i="18"/>
  <c r="N84" i="9"/>
  <c r="O83" i="9"/>
  <c r="U51" i="1"/>
  <c r="U59" i="1" s="1"/>
  <c r="U42" i="1"/>
  <c r="V31" i="1"/>
  <c r="U52" i="1"/>
  <c r="U34" i="1"/>
  <c r="W41" i="10" s="1"/>
  <c r="W54" i="5"/>
  <c r="V55" i="5"/>
  <c r="P73" i="9"/>
  <c r="P76" i="9" s="1"/>
  <c r="W17" i="5"/>
  <c r="V41" i="5"/>
  <c r="T111" i="5"/>
  <c r="T127" i="5" s="1"/>
  <c r="R12" i="8" s="1"/>
  <c r="S6" i="7"/>
  <c r="T69" i="9"/>
  <c r="U9" i="9"/>
  <c r="E64" i="25"/>
  <c r="E26" i="27"/>
  <c r="E46" i="26"/>
  <c r="E57" i="28"/>
  <c r="E52" i="28"/>
  <c r="E11" i="32"/>
  <c r="E20" i="28"/>
  <c r="E22" i="28" s="1"/>
  <c r="E45" i="23"/>
  <c r="E75" i="23" s="1"/>
  <c r="E59" i="25"/>
  <c r="E23" i="32"/>
  <c r="E5" i="28"/>
  <c r="E6" i="32"/>
  <c r="E16" i="32"/>
  <c r="E47" i="25"/>
  <c r="E47" i="28"/>
  <c r="E26" i="28"/>
  <c r="E27" i="28" s="1"/>
  <c r="E41" i="28" s="1"/>
  <c r="E50" i="25"/>
  <c r="E53" i="25"/>
  <c r="E58" i="25"/>
  <c r="E51" i="25"/>
  <c r="R4" i="7"/>
  <c r="Q87" i="1"/>
  <c r="R10" i="18"/>
  <c r="R12" i="18" s="1"/>
  <c r="R13" i="18" s="1"/>
  <c r="R14" i="18" s="1"/>
  <c r="R15" i="18" s="1"/>
  <c r="R16" i="18" s="1"/>
  <c r="R13" i="19" s="1"/>
  <c r="T145" i="5"/>
  <c r="T155" i="5" s="1"/>
  <c r="R16" i="8" s="1"/>
  <c r="V46" i="5"/>
  <c r="W27" i="5"/>
  <c r="S83" i="1"/>
  <c r="S85" i="1" s="1"/>
  <c r="R17" i="8" s="1"/>
  <c r="S75" i="1"/>
  <c r="S77" i="1" s="1"/>
  <c r="R11" i="8" s="1"/>
  <c r="S60" i="1"/>
  <c r="W8" i="5"/>
  <c r="V35" i="5"/>
  <c r="V18" i="5"/>
  <c r="V19" i="5" s="1"/>
  <c r="V84" i="5" s="1"/>
  <c r="W34" i="10" s="1"/>
  <c r="U49" i="1"/>
  <c r="U39" i="1"/>
  <c r="V27" i="1"/>
  <c r="W74" i="5"/>
  <c r="V75" i="5"/>
  <c r="V78" i="5"/>
  <c r="V64" i="5"/>
  <c r="W63" i="5"/>
  <c r="W11" i="5"/>
  <c r="V37" i="5"/>
  <c r="V53" i="5"/>
  <c r="V59" i="5" s="1"/>
  <c r="W52" i="5"/>
  <c r="V58" i="5"/>
  <c r="Y13" i="5"/>
  <c r="W87" i="6"/>
  <c r="V89" i="6"/>
  <c r="V88" i="6"/>
  <c r="U151" i="5"/>
  <c r="U123" i="5"/>
  <c r="U95" i="5"/>
  <c r="AD95" i="5" s="1"/>
  <c r="L102" i="10" s="1"/>
  <c r="M102" i="10" s="1"/>
  <c r="U86" i="5"/>
  <c r="AD86" i="5" s="1"/>
  <c r="L93" i="10" s="1"/>
  <c r="M93" i="10" s="1"/>
  <c r="V66" i="5"/>
  <c r="W65" i="5"/>
  <c r="V67" i="5"/>
  <c r="U8" i="18"/>
  <c r="U120" i="5"/>
  <c r="U148" i="5"/>
  <c r="U94" i="5"/>
  <c r="AD94" i="5" s="1"/>
  <c r="L101" i="10" s="1"/>
  <c r="U85" i="5"/>
  <c r="AD85" i="5" s="1"/>
  <c r="L92" i="10" s="1"/>
  <c r="U90" i="6"/>
  <c r="U91" i="6" s="1"/>
  <c r="K25" i="19"/>
  <c r="K27" i="19" s="1"/>
  <c r="K36" i="19" s="1"/>
  <c r="F52" i="26"/>
  <c r="F51" i="23"/>
  <c r="F57" i="26"/>
  <c r="F56" i="23"/>
  <c r="Q5" i="7"/>
  <c r="Q12" i="7" s="1"/>
  <c r="Q16" i="7" s="1"/>
  <c r="E56" i="21"/>
  <c r="L22" i="7"/>
  <c r="L23" i="7" s="1"/>
  <c r="M21" i="7"/>
  <c r="P89" i="5"/>
  <c r="P17" i="7"/>
  <c r="P98" i="5"/>
  <c r="P18" i="18"/>
  <c r="R97" i="5"/>
  <c r="R88" i="5"/>
  <c r="N46" i="10"/>
  <c r="N48" i="10" s="1"/>
  <c r="N49" i="10"/>
  <c r="N52" i="10"/>
  <c r="N54" i="10" s="1"/>
  <c r="N55" i="10"/>
  <c r="J99" i="10"/>
  <c r="D5" i="32"/>
  <c r="D7" i="32" s="1"/>
  <c r="D63" i="21"/>
  <c r="D55" i="26"/>
  <c r="D56" i="25"/>
  <c r="D54" i="23"/>
  <c r="U81" i="4"/>
  <c r="U66" i="4"/>
  <c r="V15" i="4"/>
  <c r="U18" i="4"/>
  <c r="U17" i="4"/>
  <c r="U60" i="4" s="1"/>
  <c r="V29" i="6"/>
  <c r="U30" i="6"/>
  <c r="U31" i="6"/>
  <c r="V67" i="4"/>
  <c r="V84" i="4"/>
  <c r="X54" i="4"/>
  <c r="W56" i="4"/>
  <c r="W57" i="4"/>
  <c r="W71" i="6"/>
  <c r="V73" i="6"/>
  <c r="V72" i="6"/>
  <c r="U74" i="6"/>
  <c r="U75" i="6" s="1"/>
  <c r="O7" i="19"/>
  <c r="O8" i="19" s="1"/>
  <c r="P44" i="6"/>
  <c r="K9" i="10"/>
  <c r="J6" i="8"/>
  <c r="J7" i="8" s="1"/>
  <c r="L24" i="18" s="1"/>
  <c r="L22" i="18" s="1"/>
  <c r="L12" i="19"/>
  <c r="P40" i="10"/>
  <c r="N68" i="1"/>
  <c r="R83" i="5"/>
  <c r="R92" i="5"/>
  <c r="D9" i="26"/>
  <c r="D48" i="28"/>
  <c r="D49" i="28" s="1"/>
  <c r="D9" i="23"/>
  <c r="K34" i="18"/>
  <c r="L5" i="10"/>
  <c r="U65" i="4"/>
  <c r="V9" i="7" s="1"/>
  <c r="U78" i="4"/>
  <c r="W25" i="4"/>
  <c r="V30" i="4"/>
  <c r="V31" i="4"/>
  <c r="S16" i="6"/>
  <c r="S41" i="6"/>
  <c r="S17" i="6"/>
  <c r="S42" i="6" s="1"/>
  <c r="R10" i="7" s="1"/>
  <c r="I94" i="10"/>
  <c r="I97" i="10"/>
  <c r="I91" i="10"/>
  <c r="I92" i="10"/>
  <c r="I90" i="10"/>
  <c r="I14" i="19"/>
  <c r="H66" i="9"/>
  <c r="M67" i="1"/>
  <c r="O35" i="10"/>
  <c r="M68" i="1"/>
  <c r="O40" i="10"/>
  <c r="T115" i="6"/>
  <c r="T58" i="6"/>
  <c r="T59" i="6" s="1"/>
  <c r="T116" i="6" s="1"/>
  <c r="U57" i="6"/>
  <c r="V55" i="6"/>
  <c r="U56" i="6"/>
  <c r="U114" i="6" s="1"/>
  <c r="V43" i="4"/>
  <c r="W38" i="4"/>
  <c r="V44" i="4"/>
  <c r="T75" i="4"/>
  <c r="T85" i="4" s="1"/>
  <c r="S18" i="8" s="1"/>
  <c r="T61" i="4"/>
  <c r="T64" i="4"/>
  <c r="U7" i="7"/>
  <c r="F53" i="21" s="1"/>
  <c r="T32" i="6"/>
  <c r="T33" i="6" s="1"/>
  <c r="T34" i="6" s="1"/>
  <c r="T35" i="6" s="1"/>
  <c r="M52" i="10"/>
  <c r="M54" i="10" s="1"/>
  <c r="M55" i="10"/>
  <c r="Q43" i="6"/>
  <c r="R18" i="6"/>
  <c r="Q19" i="6"/>
  <c r="Q6" i="19"/>
  <c r="K35" i="18"/>
  <c r="Y51" i="5"/>
  <c r="S108" i="6"/>
  <c r="R109" i="6"/>
  <c r="M47" i="10"/>
  <c r="M45" i="10"/>
  <c r="P35" i="10"/>
  <c r="N67" i="1"/>
  <c r="N69" i="1" s="1"/>
  <c r="M10" i="8" s="1"/>
  <c r="M13" i="8" s="1"/>
  <c r="M4" i="8" s="1"/>
  <c r="K13" i="8"/>
  <c r="K4" i="8" s="1"/>
  <c r="D12" i="21"/>
  <c r="C27" i="21"/>
  <c r="J90" i="10"/>
  <c r="S60" i="6"/>
  <c r="R117" i="6"/>
  <c r="R118" i="6" s="1"/>
  <c r="R61" i="6"/>
  <c r="S92" i="5"/>
  <c r="S83" i="5"/>
  <c r="T7" i="18"/>
  <c r="T8" i="7"/>
  <c r="S68" i="4"/>
  <c r="T17" i="18" s="1"/>
  <c r="I106" i="10"/>
  <c r="I103" i="10"/>
  <c r="I100" i="10"/>
  <c r="I101" i="10"/>
  <c r="I99" i="10"/>
  <c r="T15" i="6"/>
  <c r="T14" i="6"/>
  <c r="T40" i="6" s="1"/>
  <c r="S9" i="19" s="1"/>
  <c r="U13" i="6"/>
  <c r="V104" i="6"/>
  <c r="W103" i="6"/>
  <c r="V105" i="6"/>
  <c r="U106" i="6"/>
  <c r="U107" i="6"/>
  <c r="S76" i="6"/>
  <c r="R77" i="6"/>
  <c r="T92" i="6"/>
  <c r="S93" i="6"/>
  <c r="J35" i="18"/>
  <c r="K6" i="10"/>
  <c r="K11" i="10" s="1"/>
  <c r="P20" i="7"/>
  <c r="T36" i="9" l="1"/>
  <c r="V68" i="5"/>
  <c r="V13" i="7" s="1"/>
  <c r="S63" i="9"/>
  <c r="T59" i="9"/>
  <c r="T61" i="9" s="1"/>
  <c r="T62" i="9" s="1"/>
  <c r="R20" i="8"/>
  <c r="R5" i="8" s="1"/>
  <c r="T33" i="19" s="1"/>
  <c r="T34" i="19" s="1"/>
  <c r="R19" i="8"/>
  <c r="U27" i="9"/>
  <c r="U32" i="9" s="1"/>
  <c r="U34" i="9" s="1"/>
  <c r="U35" i="9" s="1"/>
  <c r="V26" i="9"/>
  <c r="X53" i="9"/>
  <c r="X54" i="9" s="1"/>
  <c r="W54" i="9"/>
  <c r="S64" i="9"/>
  <c r="R7" i="10"/>
  <c r="G79" i="9"/>
  <c r="G80" i="9" s="1"/>
  <c r="I17" i="10" s="1"/>
  <c r="T51" i="9"/>
  <c r="U47" i="9"/>
  <c r="U49" i="9" s="1"/>
  <c r="U50" i="9" s="1"/>
  <c r="U20" i="9"/>
  <c r="U22" i="9" s="1"/>
  <c r="U23" i="9" s="1"/>
  <c r="T24" i="9"/>
  <c r="T37" i="9" s="1"/>
  <c r="T70" i="9" s="1"/>
  <c r="T75" i="9" s="1"/>
  <c r="S19" i="8"/>
  <c r="F38" i="21" s="1"/>
  <c r="X11" i="5"/>
  <c r="W37" i="5"/>
  <c r="V39" i="1"/>
  <c r="W27" i="1"/>
  <c r="V49" i="1"/>
  <c r="V36" i="5"/>
  <c r="V135" i="5"/>
  <c r="V107" i="5"/>
  <c r="V32" i="5"/>
  <c r="V6" i="18" s="1"/>
  <c r="S61" i="1"/>
  <c r="T5" i="18"/>
  <c r="V144" i="5"/>
  <c r="V47" i="5"/>
  <c r="V116" i="5"/>
  <c r="T71" i="9"/>
  <c r="W41" i="5"/>
  <c r="X17" i="5"/>
  <c r="V51" i="1"/>
  <c r="V59" i="1" s="1"/>
  <c r="V42" i="1"/>
  <c r="W31" i="1"/>
  <c r="V52" i="1"/>
  <c r="V34" i="1"/>
  <c r="X41" i="10" s="1"/>
  <c r="U84" i="1"/>
  <c r="U76" i="1"/>
  <c r="Y29" i="19"/>
  <c r="G30" i="21" s="1"/>
  <c r="X24" i="5"/>
  <c r="W28" i="5"/>
  <c r="W44" i="5"/>
  <c r="V29" i="5"/>
  <c r="V93" i="5" s="1"/>
  <c r="W39" i="10" s="1"/>
  <c r="X14" i="5"/>
  <c r="W39" i="5"/>
  <c r="R8" i="10"/>
  <c r="S8" i="10" s="1"/>
  <c r="T8" i="10" s="1"/>
  <c r="F58" i="26"/>
  <c r="F57" i="23"/>
  <c r="V40" i="1"/>
  <c r="V50" i="1"/>
  <c r="W28" i="1"/>
  <c r="S73" i="9"/>
  <c r="S72" i="9"/>
  <c r="S76" i="9" s="1"/>
  <c r="U7" i="10" s="1"/>
  <c r="S4" i="7"/>
  <c r="R87" i="1"/>
  <c r="S10" i="18"/>
  <c r="S12" i="18" s="1"/>
  <c r="W77" i="5"/>
  <c r="X76" i="5"/>
  <c r="U58" i="1"/>
  <c r="U55" i="1"/>
  <c r="W32" i="1"/>
  <c r="V53" i="1"/>
  <c r="V43" i="1"/>
  <c r="U111" i="5"/>
  <c r="U127" i="5" s="1"/>
  <c r="S12" i="8" s="1"/>
  <c r="F14" i="21" s="1"/>
  <c r="S13" i="18"/>
  <c r="S14" i="18" s="1"/>
  <c r="S15" i="18" s="1"/>
  <c r="S16" i="18" s="1"/>
  <c r="S13" i="19" s="1"/>
  <c r="V136" i="5"/>
  <c r="V108" i="5"/>
  <c r="V38" i="5"/>
  <c r="X63" i="5"/>
  <c r="W64" i="5"/>
  <c r="V126" i="5"/>
  <c r="V154" i="5"/>
  <c r="X74" i="5"/>
  <c r="W75" i="5"/>
  <c r="W78" i="5"/>
  <c r="X8" i="5"/>
  <c r="W35" i="5"/>
  <c r="W18" i="5"/>
  <c r="W19" i="5" s="1"/>
  <c r="W84" i="5" s="1"/>
  <c r="X34" i="10" s="1"/>
  <c r="W46" i="5"/>
  <c r="X27" i="5"/>
  <c r="V9" i="9"/>
  <c r="U69" i="9"/>
  <c r="V110" i="5"/>
  <c r="V42" i="5"/>
  <c r="V138" i="5"/>
  <c r="X54" i="5"/>
  <c r="W55" i="5"/>
  <c r="O84" i="9"/>
  <c r="P83" i="9"/>
  <c r="V115" i="5"/>
  <c r="V117" i="5" s="1"/>
  <c r="V143" i="5"/>
  <c r="V145" i="5" s="1"/>
  <c r="V45" i="5"/>
  <c r="V109" i="5"/>
  <c r="V40" i="5"/>
  <c r="V137" i="5"/>
  <c r="V139" i="5" s="1"/>
  <c r="U6" i="18"/>
  <c r="U33" i="5"/>
  <c r="U11" i="18" s="1"/>
  <c r="W57" i="5"/>
  <c r="X56" i="5"/>
  <c r="V79" i="5"/>
  <c r="V96" i="5" s="1"/>
  <c r="Y32" i="19"/>
  <c r="G34" i="21" s="1"/>
  <c r="G34" i="26" s="1"/>
  <c r="V48" i="1"/>
  <c r="V47" i="1"/>
  <c r="V38" i="1"/>
  <c r="W26" i="1"/>
  <c r="V29" i="1"/>
  <c r="X36" i="10" s="1"/>
  <c r="T75" i="1"/>
  <c r="T77" i="1" s="1"/>
  <c r="S11" i="8" s="1"/>
  <c r="F13" i="21" s="1"/>
  <c r="T83" i="1"/>
  <c r="T85" i="1" s="1"/>
  <c r="S17" i="8" s="1"/>
  <c r="F36" i="21" s="1"/>
  <c r="T60" i="1"/>
  <c r="V54" i="1"/>
  <c r="W33" i="1"/>
  <c r="V44" i="1"/>
  <c r="AD93" i="5"/>
  <c r="L100" i="10" s="1"/>
  <c r="V39" i="10"/>
  <c r="U139" i="5"/>
  <c r="U155" i="5" s="1"/>
  <c r="S16" i="8" s="1"/>
  <c r="F15" i="23"/>
  <c r="E15" i="26"/>
  <c r="X65" i="5"/>
  <c r="W66" i="5"/>
  <c r="W68" i="5" s="1"/>
  <c r="W67" i="5"/>
  <c r="X87" i="6"/>
  <c r="W89" i="6"/>
  <c r="W88" i="6"/>
  <c r="V148" i="5"/>
  <c r="V85" i="5"/>
  <c r="V8" i="18"/>
  <c r="V120" i="5"/>
  <c r="V94" i="5"/>
  <c r="V123" i="5"/>
  <c r="V86" i="5"/>
  <c r="V95" i="5"/>
  <c r="V151" i="5"/>
  <c r="V90" i="6"/>
  <c r="V91" i="6" s="1"/>
  <c r="W53" i="5"/>
  <c r="W59" i="5" s="1"/>
  <c r="X52" i="5"/>
  <c r="W58" i="5"/>
  <c r="R5" i="7"/>
  <c r="R12" i="7" s="1"/>
  <c r="R16" i="7" s="1"/>
  <c r="F50" i="26"/>
  <c r="F49" i="23"/>
  <c r="S97" i="5"/>
  <c r="S88" i="5"/>
  <c r="I66" i="9"/>
  <c r="J14" i="19"/>
  <c r="J15" i="19" s="1"/>
  <c r="J17" i="19" s="1"/>
  <c r="J38" i="19" s="1"/>
  <c r="U92" i="6"/>
  <c r="T93" i="6"/>
  <c r="T76" i="6"/>
  <c r="S77" i="6"/>
  <c r="V106" i="6"/>
  <c r="V107" i="6" s="1"/>
  <c r="E7" i="21"/>
  <c r="C50" i="32"/>
  <c r="C11" i="31"/>
  <c r="C41" i="21"/>
  <c r="C5" i="31"/>
  <c r="C16" i="31"/>
  <c r="C17" i="31" s="1"/>
  <c r="D31" i="27"/>
  <c r="D22" i="27"/>
  <c r="D24" i="27" s="1"/>
  <c r="D25" i="27" s="1"/>
  <c r="D27" i="27" s="1"/>
  <c r="D11" i="27"/>
  <c r="D12" i="26"/>
  <c r="D15" i="28"/>
  <c r="D17" i="28" s="1"/>
  <c r="D40" i="28" s="1"/>
  <c r="D43" i="28" s="1"/>
  <c r="D44" i="28" s="1"/>
  <c r="D6" i="28"/>
  <c r="D7" i="28" s="1"/>
  <c r="D12" i="23"/>
  <c r="D11" i="28"/>
  <c r="D12" i="28" s="1"/>
  <c r="M6" i="8"/>
  <c r="O12" i="19"/>
  <c r="M46" i="10"/>
  <c r="M48" i="10" s="1"/>
  <c r="M49" i="10"/>
  <c r="R43" i="6"/>
  <c r="S18" i="6"/>
  <c r="R19" i="6"/>
  <c r="T68" i="4"/>
  <c r="U17" i="18" s="1"/>
  <c r="U8" i="7"/>
  <c r="F37" i="21"/>
  <c r="X38" i="4"/>
  <c r="W43" i="4"/>
  <c r="W44" i="4"/>
  <c r="U115" i="6"/>
  <c r="U58" i="6"/>
  <c r="U59" i="6" s="1"/>
  <c r="U116" i="6" s="1"/>
  <c r="C16" i="21"/>
  <c r="I15" i="19"/>
  <c r="I17" i="19" s="1"/>
  <c r="I38" i="19" s="1"/>
  <c r="R6" i="19"/>
  <c r="V65" i="4"/>
  <c r="W9" i="7" s="1"/>
  <c r="V78" i="4"/>
  <c r="X25" i="4"/>
  <c r="W30" i="4"/>
  <c r="W31" i="4"/>
  <c r="L9" i="10"/>
  <c r="L10" i="10" s="1"/>
  <c r="L12" i="10" s="1"/>
  <c r="L6" i="10"/>
  <c r="L11" i="10" s="1"/>
  <c r="P51" i="10"/>
  <c r="P53" i="10"/>
  <c r="K10" i="10"/>
  <c r="K12" i="10" s="1"/>
  <c r="W72" i="6"/>
  <c r="X71" i="6"/>
  <c r="W73" i="6"/>
  <c r="V17" i="4"/>
  <c r="V60" i="4" s="1"/>
  <c r="W15" i="4"/>
  <c r="V18" i="4"/>
  <c r="P99" i="5"/>
  <c r="P90" i="5"/>
  <c r="L19" i="18"/>
  <c r="L9" i="18" s="1"/>
  <c r="L4" i="18" s="1"/>
  <c r="L25" i="7"/>
  <c r="L28" i="7" s="1"/>
  <c r="L29" i="7" s="1"/>
  <c r="E21" i="32"/>
  <c r="E53" i="26"/>
  <c r="E54" i="25"/>
  <c r="E52" i="23"/>
  <c r="E51" i="21"/>
  <c r="F54" i="21"/>
  <c r="M69" i="1"/>
  <c r="L10" i="8" s="1"/>
  <c r="L13" i="8" s="1"/>
  <c r="L4" i="8" s="1"/>
  <c r="R119" i="6"/>
  <c r="R121" i="6" s="1"/>
  <c r="X103" i="6"/>
  <c r="W105" i="6"/>
  <c r="W104" i="6"/>
  <c r="U15" i="6"/>
  <c r="V13" i="6"/>
  <c r="U14" i="6"/>
  <c r="U40" i="6" s="1"/>
  <c r="T9" i="19" s="1"/>
  <c r="T16" i="6"/>
  <c r="T17" i="6" s="1"/>
  <c r="T42" i="6" s="1"/>
  <c r="S10" i="7" s="1"/>
  <c r="T41" i="6"/>
  <c r="T60" i="6"/>
  <c r="S117" i="6"/>
  <c r="S118" i="6" s="1"/>
  <c r="S61" i="6"/>
  <c r="M12" i="19"/>
  <c r="K6" i="8"/>
  <c r="K7" i="8" s="1"/>
  <c r="M24" i="18" s="1"/>
  <c r="M22" i="18" s="1"/>
  <c r="P47" i="10"/>
  <c r="P45" i="10"/>
  <c r="T108" i="6"/>
  <c r="S109" i="6"/>
  <c r="K14" i="19"/>
  <c r="K15" i="19" s="1"/>
  <c r="K17" i="19" s="1"/>
  <c r="K38" i="19" s="1"/>
  <c r="J66" i="9"/>
  <c r="P7" i="19"/>
  <c r="P8" i="19" s="1"/>
  <c r="Q44" i="6"/>
  <c r="U7" i="18"/>
  <c r="T70" i="4"/>
  <c r="V81" i="4"/>
  <c r="V66" i="4"/>
  <c r="W13" i="7" s="1"/>
  <c r="V56" i="6"/>
  <c r="V114" i="6" s="1"/>
  <c r="V57" i="6"/>
  <c r="W55" i="6"/>
  <c r="O53" i="10"/>
  <c r="O51" i="10"/>
  <c r="O47" i="10"/>
  <c r="O45" i="10"/>
  <c r="V74" i="6"/>
  <c r="V75" i="6" s="1"/>
  <c r="W84" i="4"/>
  <c r="W67" i="4"/>
  <c r="X56" i="4"/>
  <c r="X57" i="4"/>
  <c r="U33" i="6"/>
  <c r="U34" i="6" s="1"/>
  <c r="U35" i="6" s="1"/>
  <c r="U32" i="6"/>
  <c r="W29" i="6"/>
  <c r="V31" i="6"/>
  <c r="V30" i="6"/>
  <c r="U61" i="4"/>
  <c r="U75" i="4"/>
  <c r="U85" i="4" s="1"/>
  <c r="T18" i="8" s="1"/>
  <c r="V7" i="7"/>
  <c r="U64" i="4"/>
  <c r="D6" i="34"/>
  <c r="D7" i="34" s="1"/>
  <c r="D32" i="32"/>
  <c r="D15" i="32"/>
  <c r="D17" i="32" s="1"/>
  <c r="D60" i="26"/>
  <c r="D20" i="32"/>
  <c r="D22" i="32" s="1"/>
  <c r="D24" i="32" s="1"/>
  <c r="D25" i="31"/>
  <c r="D27" i="31" s="1"/>
  <c r="D49" i="32"/>
  <c r="D68" i="21"/>
  <c r="D61" i="25"/>
  <c r="D59" i="23"/>
  <c r="M22" i="7"/>
  <c r="M23" i="7" s="1"/>
  <c r="D70" i="21" s="1"/>
  <c r="N21" i="7"/>
  <c r="S70" i="4"/>
  <c r="F14" i="26" l="1"/>
  <c r="F14" i="23"/>
  <c r="U36" i="9"/>
  <c r="V111" i="5"/>
  <c r="T64" i="9"/>
  <c r="V27" i="9"/>
  <c r="V32" i="9" s="1"/>
  <c r="V34" i="9" s="1"/>
  <c r="V35" i="9" s="1"/>
  <c r="W26" i="9"/>
  <c r="T63" i="9"/>
  <c r="U59" i="9"/>
  <c r="U61" i="9" s="1"/>
  <c r="U62" i="9" s="1"/>
  <c r="U51" i="9"/>
  <c r="V47" i="9"/>
  <c r="V49" i="9" s="1"/>
  <c r="V50" i="9" s="1"/>
  <c r="F35" i="21"/>
  <c r="S20" i="8"/>
  <c r="S5" i="8" s="1"/>
  <c r="U33" i="19" s="1"/>
  <c r="U34" i="19" s="1"/>
  <c r="V20" i="9"/>
  <c r="V22" i="9" s="1"/>
  <c r="V23" i="9" s="1"/>
  <c r="T19" i="8"/>
  <c r="U24" i="9"/>
  <c r="U37" i="9" s="1"/>
  <c r="U70" i="9" s="1"/>
  <c r="U75" i="9" s="1"/>
  <c r="F36" i="26"/>
  <c r="G35" i="23"/>
  <c r="Q83" i="9"/>
  <c r="P84" i="9"/>
  <c r="W9" i="9"/>
  <c r="V69" i="9"/>
  <c r="W47" i="5"/>
  <c r="W144" i="5"/>
  <c r="W116" i="5"/>
  <c r="W135" i="5"/>
  <c r="W107" i="5"/>
  <c r="W36" i="5"/>
  <c r="W32" i="5"/>
  <c r="W126" i="5"/>
  <c r="W154" i="5"/>
  <c r="X75" i="5"/>
  <c r="Y74" i="5"/>
  <c r="X78" i="5"/>
  <c r="V87" i="5"/>
  <c r="W53" i="1"/>
  <c r="X32" i="1"/>
  <c r="W43" i="1"/>
  <c r="U60" i="1"/>
  <c r="U83" i="1"/>
  <c r="U85" i="1" s="1"/>
  <c r="T17" i="8" s="1"/>
  <c r="U75" i="1"/>
  <c r="U77" i="1" s="1"/>
  <c r="T11" i="8" s="1"/>
  <c r="W79" i="5"/>
  <c r="W87" i="5" s="1"/>
  <c r="W50" i="1"/>
  <c r="W40" i="1"/>
  <c r="X28" i="1"/>
  <c r="W109" i="5"/>
  <c r="W40" i="5"/>
  <c r="W137" i="5"/>
  <c r="W45" i="5"/>
  <c r="W115" i="5"/>
  <c r="W117" i="5" s="1"/>
  <c r="W143" i="5"/>
  <c r="W145" i="5" s="1"/>
  <c r="Y24" i="5"/>
  <c r="X28" i="5"/>
  <c r="X29" i="5" s="1"/>
  <c r="X93" i="5" s="1"/>
  <c r="Y39" i="10" s="1"/>
  <c r="X44" i="5"/>
  <c r="X31" i="1"/>
  <c r="W51" i="1"/>
  <c r="W59" i="1" s="1"/>
  <c r="W42" i="1"/>
  <c r="W52" i="1"/>
  <c r="W34" i="1"/>
  <c r="Y41" i="10" s="1"/>
  <c r="V84" i="1"/>
  <c r="V76" i="1"/>
  <c r="W138" i="5"/>
  <c r="W110" i="5"/>
  <c r="W42" i="5"/>
  <c r="S87" i="1"/>
  <c r="T10" i="18"/>
  <c r="T12" i="18" s="1"/>
  <c r="T13" i="18" s="1"/>
  <c r="T14" i="18" s="1"/>
  <c r="T15" i="18" s="1"/>
  <c r="T16" i="18" s="1"/>
  <c r="T13" i="19" s="1"/>
  <c r="Y11" i="5"/>
  <c r="Y37" i="5" s="1"/>
  <c r="X37" i="5"/>
  <c r="W14" i="7"/>
  <c r="X33" i="1"/>
  <c r="W44" i="1"/>
  <c r="W54" i="1"/>
  <c r="U5" i="18"/>
  <c r="U4" i="7"/>
  <c r="T61" i="1"/>
  <c r="F23" i="27"/>
  <c r="F25" i="28"/>
  <c r="F21" i="28"/>
  <c r="F13" i="26"/>
  <c r="F13" i="23"/>
  <c r="W38" i="1"/>
  <c r="W48" i="1"/>
  <c r="W47" i="1"/>
  <c r="X26" i="1"/>
  <c r="W29" i="1"/>
  <c r="Y36" i="10" s="1"/>
  <c r="V58" i="1"/>
  <c r="V55" i="1"/>
  <c r="X57" i="5"/>
  <c r="Y56" i="5"/>
  <c r="Y57" i="5" s="1"/>
  <c r="U6" i="7"/>
  <c r="F52" i="21" s="1"/>
  <c r="X55" i="5"/>
  <c r="Y54" i="5"/>
  <c r="Y55" i="5" s="1"/>
  <c r="U71" i="9"/>
  <c r="Y27" i="5"/>
  <c r="Y46" i="5" s="1"/>
  <c r="X46" i="5"/>
  <c r="Y8" i="5"/>
  <c r="X35" i="5"/>
  <c r="X18" i="5"/>
  <c r="X19" i="5" s="1"/>
  <c r="X84" i="5" s="1"/>
  <c r="Y34" i="10" s="1"/>
  <c r="V14" i="7"/>
  <c r="Y63" i="5"/>
  <c r="Y64" i="5" s="1"/>
  <c r="X64" i="5"/>
  <c r="Y76" i="5"/>
  <c r="Y77" i="5" s="1"/>
  <c r="X77" i="5"/>
  <c r="X79" i="5" s="1"/>
  <c r="U8" i="10"/>
  <c r="Y14" i="5"/>
  <c r="Y39" i="5" s="1"/>
  <c r="X39" i="5"/>
  <c r="W29" i="5"/>
  <c r="W93" i="5" s="1"/>
  <c r="X39" i="10" s="1"/>
  <c r="G31" i="21"/>
  <c r="G31" i="26" s="1"/>
  <c r="G30" i="26"/>
  <c r="Y17" i="5"/>
  <c r="Y41" i="5" s="1"/>
  <c r="X41" i="5"/>
  <c r="T72" i="9"/>
  <c r="T73" i="9"/>
  <c r="T4" i="7"/>
  <c r="V33" i="5"/>
  <c r="X27" i="1"/>
  <c r="W39" i="1"/>
  <c r="W49" i="1"/>
  <c r="W136" i="5"/>
  <c r="W38" i="5"/>
  <c r="W108" i="5"/>
  <c r="F38" i="26"/>
  <c r="F37" i="23"/>
  <c r="Y52" i="5"/>
  <c r="X53" i="5"/>
  <c r="X59" i="5" s="1"/>
  <c r="X58" i="5"/>
  <c r="Y87" i="6"/>
  <c r="X89" i="6"/>
  <c r="X88" i="6"/>
  <c r="V127" i="5"/>
  <c r="T12" i="8" s="1"/>
  <c r="W8" i="18"/>
  <c r="W94" i="5"/>
  <c r="W85" i="5"/>
  <c r="W148" i="5"/>
  <c r="W120" i="5"/>
  <c r="Y109" i="5"/>
  <c r="Y40" i="5"/>
  <c r="Y137" i="5"/>
  <c r="W90" i="6"/>
  <c r="W91" i="6" s="1"/>
  <c r="W123" i="5"/>
  <c r="W95" i="5"/>
  <c r="W151" i="5"/>
  <c r="W86" i="5"/>
  <c r="X66" i="5"/>
  <c r="X68" i="5" s="1"/>
  <c r="Y65" i="5"/>
  <c r="X67" i="5"/>
  <c r="V155" i="5"/>
  <c r="T16" i="8" s="1"/>
  <c r="T20" i="8" s="1"/>
  <c r="T5" i="8" s="1"/>
  <c r="V33" i="19" s="1"/>
  <c r="V34" i="19" s="1"/>
  <c r="D67" i="26"/>
  <c r="D68" i="25"/>
  <c r="D66" i="23"/>
  <c r="S5" i="7"/>
  <c r="S12" i="7" s="1"/>
  <c r="S16" i="7" s="1"/>
  <c r="D65" i="26"/>
  <c r="D11" i="34"/>
  <c r="D72" i="21"/>
  <c r="D66" i="25"/>
  <c r="D64" i="23"/>
  <c r="V7" i="18"/>
  <c r="V32" i="6"/>
  <c r="V33" i="6" s="1"/>
  <c r="V34" i="6" s="1"/>
  <c r="V35" i="6" s="1"/>
  <c r="V58" i="6"/>
  <c r="V59" i="6" s="1"/>
  <c r="V116" i="6" s="1"/>
  <c r="V115" i="6"/>
  <c r="U108" i="6"/>
  <c r="T109" i="6"/>
  <c r="U41" i="6"/>
  <c r="U16" i="6"/>
  <c r="U17" i="6" s="1"/>
  <c r="U42" i="6" s="1"/>
  <c r="T10" i="7" s="1"/>
  <c r="W106" i="6"/>
  <c r="W107" i="6" s="1"/>
  <c r="L6" i="8"/>
  <c r="L7" i="8" s="1"/>
  <c r="N24" i="18" s="1"/>
  <c r="N22" i="18" s="1"/>
  <c r="N12" i="19"/>
  <c r="F51" i="26"/>
  <c r="F50" i="23"/>
  <c r="V75" i="4"/>
  <c r="V85" i="4" s="1"/>
  <c r="U18" i="8" s="1"/>
  <c r="W7" i="7"/>
  <c r="V64" i="4"/>
  <c r="V61" i="4"/>
  <c r="X72" i="6"/>
  <c r="Y71" i="6"/>
  <c r="X73" i="6"/>
  <c r="W65" i="4"/>
  <c r="X9" i="7" s="1"/>
  <c r="W78" i="4"/>
  <c r="X30" i="4"/>
  <c r="X31" i="4"/>
  <c r="T88" i="5"/>
  <c r="T97" i="5"/>
  <c r="W66" i="4"/>
  <c r="W81" i="4"/>
  <c r="X13" i="7"/>
  <c r="X43" i="4"/>
  <c r="X44" i="4"/>
  <c r="G36" i="23"/>
  <c r="F37" i="26"/>
  <c r="F39" i="21"/>
  <c r="T18" i="6"/>
  <c r="S43" i="6"/>
  <c r="S19" i="6"/>
  <c r="C31" i="25"/>
  <c r="C42" i="21"/>
  <c r="C27" i="25"/>
  <c r="C24" i="25"/>
  <c r="C38" i="25"/>
  <c r="C41" i="25"/>
  <c r="C39" i="25"/>
  <c r="C25" i="25"/>
  <c r="C37" i="25"/>
  <c r="C26" i="25"/>
  <c r="C30" i="25"/>
  <c r="C35" i="25"/>
  <c r="C36" i="25"/>
  <c r="C34" i="25"/>
  <c r="E58" i="28"/>
  <c r="E7" i="26"/>
  <c r="N22" i="7"/>
  <c r="N23" i="7" s="1"/>
  <c r="O21" i="7"/>
  <c r="T83" i="5"/>
  <c r="T92" i="5"/>
  <c r="M19" i="18"/>
  <c r="M9" i="18" s="1"/>
  <c r="M4" i="18" s="1"/>
  <c r="M25" i="7"/>
  <c r="M28" i="7" s="1"/>
  <c r="U68" i="4"/>
  <c r="V17" i="18" s="1"/>
  <c r="V8" i="7"/>
  <c r="W30" i="6"/>
  <c r="X29" i="6"/>
  <c r="W31" i="6"/>
  <c r="X67" i="4"/>
  <c r="X84" i="4"/>
  <c r="O46" i="10"/>
  <c r="O48" i="10" s="1"/>
  <c r="O49" i="10"/>
  <c r="O52" i="10"/>
  <c r="O54" i="10" s="1"/>
  <c r="O55" i="10"/>
  <c r="X55" i="6"/>
  <c r="W56" i="6"/>
  <c r="W114" i="6" s="1"/>
  <c r="W57" i="6"/>
  <c r="U92" i="5"/>
  <c r="U83" i="5"/>
  <c r="P46" i="10"/>
  <c r="P48" i="10" s="1"/>
  <c r="P49" i="10"/>
  <c r="U60" i="6"/>
  <c r="T117" i="6"/>
  <c r="T118" i="6" s="1"/>
  <c r="T61" i="6"/>
  <c r="S6" i="19"/>
  <c r="W13" i="6"/>
  <c r="V14" i="6"/>
  <c r="V40" i="6" s="1"/>
  <c r="U9" i="19" s="1"/>
  <c r="F8" i="21" s="1"/>
  <c r="V15" i="6"/>
  <c r="X104" i="6"/>
  <c r="Y103" i="6"/>
  <c r="X105" i="6"/>
  <c r="Q98" i="5"/>
  <c r="Q89" i="5"/>
  <c r="Q18" i="18"/>
  <c r="Q17" i="7"/>
  <c r="E32" i="27"/>
  <c r="E36" i="28"/>
  <c r="E37" i="28" s="1"/>
  <c r="E42" i="28" s="1"/>
  <c r="E30" i="28"/>
  <c r="E16" i="28"/>
  <c r="E10" i="28"/>
  <c r="E48" i="26"/>
  <c r="E58" i="21"/>
  <c r="E49" i="25"/>
  <c r="E47" i="23"/>
  <c r="L25" i="19"/>
  <c r="L27" i="19" s="1"/>
  <c r="L36" i="19" s="1"/>
  <c r="M29" i="7"/>
  <c r="M5" i="10"/>
  <c r="L34" i="18"/>
  <c r="O67" i="1"/>
  <c r="Q35" i="10"/>
  <c r="O68" i="1"/>
  <c r="Q40" i="10"/>
  <c r="X15" i="4"/>
  <c r="W17" i="4"/>
  <c r="W60" i="4" s="1"/>
  <c r="W18" i="4"/>
  <c r="W74" i="6"/>
  <c r="W75" i="6" s="1"/>
  <c r="P52" i="10"/>
  <c r="P54" i="10" s="1"/>
  <c r="P55" i="10"/>
  <c r="C16" i="27"/>
  <c r="C17" i="21"/>
  <c r="Q7" i="19"/>
  <c r="Q8" i="19" s="1"/>
  <c r="R44" i="6"/>
  <c r="E6" i="21" s="1"/>
  <c r="U76" i="6"/>
  <c r="T77" i="6"/>
  <c r="V92" i="6"/>
  <c r="U93" i="6"/>
  <c r="S119" i="6"/>
  <c r="S121" i="6" s="1"/>
  <c r="V36" i="9" l="1"/>
  <c r="X26" i="9"/>
  <c r="X27" i="9" s="1"/>
  <c r="W27" i="9"/>
  <c r="W32" i="9" s="1"/>
  <c r="W34" i="9" s="1"/>
  <c r="W35" i="9" s="1"/>
  <c r="V59" i="9"/>
  <c r="V61" i="9" s="1"/>
  <c r="V62" i="9" s="1"/>
  <c r="U63" i="9"/>
  <c r="U64" i="9"/>
  <c r="V51" i="9"/>
  <c r="W47" i="9"/>
  <c r="W49" i="9" s="1"/>
  <c r="W50" i="9" s="1"/>
  <c r="X49" i="1"/>
  <c r="X39" i="1"/>
  <c r="T76" i="9"/>
  <c r="Y42" i="5"/>
  <c r="Y138" i="5"/>
  <c r="Y110" i="5"/>
  <c r="X36" i="5"/>
  <c r="X135" i="5"/>
  <c r="X107" i="5"/>
  <c r="X32" i="5"/>
  <c r="X144" i="5"/>
  <c r="X47" i="5"/>
  <c r="X116" i="5"/>
  <c r="U73" i="9"/>
  <c r="U72" i="9"/>
  <c r="V83" i="1"/>
  <c r="V85" i="1" s="1"/>
  <c r="U17" i="8" s="1"/>
  <c r="V60" i="1"/>
  <c r="V75" i="1"/>
  <c r="V77" i="1" s="1"/>
  <c r="U11" i="8" s="1"/>
  <c r="X38" i="1"/>
  <c r="X48" i="1"/>
  <c r="X47" i="1"/>
  <c r="X29" i="1"/>
  <c r="Z36" i="10" s="1"/>
  <c r="F49" i="21"/>
  <c r="X54" i="1"/>
  <c r="X44" i="1"/>
  <c r="X136" i="5"/>
  <c r="X108" i="5"/>
  <c r="X38" i="5"/>
  <c r="W76" i="1"/>
  <c r="W84" i="1"/>
  <c r="X143" i="5"/>
  <c r="X145" i="5" s="1"/>
  <c r="X115" i="5"/>
  <c r="X117" i="5" s="1"/>
  <c r="X45" i="5"/>
  <c r="Y28" i="5"/>
  <c r="Y29" i="5" s="1"/>
  <c r="Y93" i="5" s="1"/>
  <c r="Y44" i="5"/>
  <c r="W139" i="5"/>
  <c r="W111" i="5"/>
  <c r="W127" i="5" s="1"/>
  <c r="U12" i="8" s="1"/>
  <c r="X154" i="5"/>
  <c r="X126" i="5"/>
  <c r="X96" i="5"/>
  <c r="X87" i="5"/>
  <c r="X14" i="7"/>
  <c r="W96" i="5"/>
  <c r="W33" i="5"/>
  <c r="W11" i="18" s="1"/>
  <c r="G34" i="23"/>
  <c r="F31" i="28"/>
  <c r="F32" i="28" s="1"/>
  <c r="F35" i="28"/>
  <c r="F21" i="27"/>
  <c r="F35" i="26"/>
  <c r="V6" i="7"/>
  <c r="V11" i="18"/>
  <c r="X42" i="5"/>
  <c r="X110" i="5"/>
  <c r="X138" i="5"/>
  <c r="X137" i="5"/>
  <c r="X40" i="5"/>
  <c r="X33" i="5" s="1"/>
  <c r="X109" i="5"/>
  <c r="X111" i="5" s="1"/>
  <c r="Y35" i="5"/>
  <c r="Y18" i="5"/>
  <c r="Y47" i="5"/>
  <c r="Y116" i="5"/>
  <c r="Y144" i="5"/>
  <c r="F49" i="26"/>
  <c r="F48" i="23"/>
  <c r="W58" i="1"/>
  <c r="W55" i="1"/>
  <c r="T87" i="1"/>
  <c r="U10" i="18"/>
  <c r="U12" i="18" s="1"/>
  <c r="U13" i="18" s="1"/>
  <c r="U14" i="18" s="1"/>
  <c r="U15" i="18" s="1"/>
  <c r="U16" i="18" s="1"/>
  <c r="U13" i="19" s="1"/>
  <c r="F15" i="21" s="1"/>
  <c r="Y108" i="5"/>
  <c r="Y136" i="5"/>
  <c r="Y38" i="5"/>
  <c r="X52" i="1"/>
  <c r="X42" i="1"/>
  <c r="X51" i="1"/>
  <c r="X59" i="1" s="1"/>
  <c r="X34" i="1"/>
  <c r="Z41" i="10" s="1"/>
  <c r="X40" i="1"/>
  <c r="X50" i="1"/>
  <c r="U61" i="1"/>
  <c r="V4" i="7" s="1"/>
  <c r="V5" i="18"/>
  <c r="X53" i="1"/>
  <c r="X43" i="1"/>
  <c r="Y75" i="5"/>
  <c r="Y79" i="5" s="1"/>
  <c r="Y78" i="5"/>
  <c r="W6" i="7"/>
  <c r="W6" i="18"/>
  <c r="W69" i="9"/>
  <c r="X9" i="9"/>
  <c r="X69" i="9" s="1"/>
  <c r="R83" i="9"/>
  <c r="Q84" i="9"/>
  <c r="W20" i="9"/>
  <c r="W22" i="9" s="1"/>
  <c r="W23" i="9" s="1"/>
  <c r="V24" i="9"/>
  <c r="V37" i="9" s="1"/>
  <c r="V70" i="9" s="1"/>
  <c r="V75" i="9" s="1"/>
  <c r="U19" i="8"/>
  <c r="Z39" i="10"/>
  <c r="AE93" i="5"/>
  <c r="N100" i="10" s="1"/>
  <c r="X95" i="5"/>
  <c r="X123" i="5"/>
  <c r="X86" i="5"/>
  <c r="X151" i="5"/>
  <c r="Y89" i="6"/>
  <c r="Z87" i="6"/>
  <c r="Y88" i="6"/>
  <c r="M7" i="8"/>
  <c r="O24" i="18" s="1"/>
  <c r="O22" i="18" s="1"/>
  <c r="W155" i="5"/>
  <c r="U16" i="8" s="1"/>
  <c r="U20" i="8" s="1"/>
  <c r="U5" i="8" s="1"/>
  <c r="W33" i="19" s="1"/>
  <c r="W34" i="19" s="1"/>
  <c r="X11" i="18"/>
  <c r="Y66" i="5"/>
  <c r="Y68" i="5" s="1"/>
  <c r="Y67" i="5"/>
  <c r="X90" i="6"/>
  <c r="X91" i="6" s="1"/>
  <c r="X85" i="5"/>
  <c r="X148" i="5"/>
  <c r="X120" i="5"/>
  <c r="X127" i="5" s="1"/>
  <c r="V12" i="8" s="1"/>
  <c r="X8" i="18"/>
  <c r="X94" i="5"/>
  <c r="Y53" i="5"/>
  <c r="Y59" i="5" s="1"/>
  <c r="Y58" i="5"/>
  <c r="T5" i="7"/>
  <c r="T12" i="7" s="1"/>
  <c r="T16" i="7" s="1"/>
  <c r="U97" i="5"/>
  <c r="U88" i="5"/>
  <c r="W92" i="6"/>
  <c r="V93" i="6"/>
  <c r="V76" i="6"/>
  <c r="U77" i="6"/>
  <c r="Q51" i="10"/>
  <c r="Q53" i="10"/>
  <c r="Q47" i="10"/>
  <c r="Q45" i="10"/>
  <c r="L35" i="18"/>
  <c r="M25" i="19"/>
  <c r="E5" i="32"/>
  <c r="E7" i="32" s="1"/>
  <c r="E63" i="21"/>
  <c r="E55" i="26"/>
  <c r="E56" i="25"/>
  <c r="E54" i="23"/>
  <c r="E65" i="21"/>
  <c r="Q20" i="7"/>
  <c r="Q90" i="5"/>
  <c r="AC89" i="5"/>
  <c r="X106" i="6"/>
  <c r="X107" i="6" s="1"/>
  <c r="F8" i="26"/>
  <c r="G8" i="23"/>
  <c r="F8" i="23"/>
  <c r="V60" i="6"/>
  <c r="U117" i="6"/>
  <c r="U118" i="6" s="1"/>
  <c r="U61" i="6"/>
  <c r="X31" i="6"/>
  <c r="X30" i="6"/>
  <c r="Y29" i="6"/>
  <c r="AD92" i="5"/>
  <c r="O22" i="7"/>
  <c r="O23" i="7" s="1"/>
  <c r="P21" i="7"/>
  <c r="U18" i="6"/>
  <c r="T43" i="6"/>
  <c r="T19" i="6"/>
  <c r="X66" i="4"/>
  <c r="Y13" i="7" s="1"/>
  <c r="G60" i="21" s="1"/>
  <c r="X81" i="4"/>
  <c r="X65" i="4"/>
  <c r="X78" i="4"/>
  <c r="Y9" i="7"/>
  <c r="Y72" i="6"/>
  <c r="Z71" i="6"/>
  <c r="Y73" i="6"/>
  <c r="W7" i="18"/>
  <c r="T6" i="19"/>
  <c r="V108" i="6"/>
  <c r="U109" i="6"/>
  <c r="D42" i="32"/>
  <c r="D10" i="34"/>
  <c r="D12" i="34" s="1"/>
  <c r="D15" i="34" s="1"/>
  <c r="D16" i="34" s="1"/>
  <c r="D73" i="21"/>
  <c r="D10" i="32"/>
  <c r="D12" i="32" s="1"/>
  <c r="D69" i="26"/>
  <c r="D27" i="32"/>
  <c r="D37" i="32"/>
  <c r="D70" i="25"/>
  <c r="D68" i="23"/>
  <c r="D74" i="23" s="1"/>
  <c r="AD97" i="5"/>
  <c r="L104" i="10" s="1"/>
  <c r="R18" i="18"/>
  <c r="R89" i="5"/>
  <c r="R98" i="5"/>
  <c r="R17" i="7"/>
  <c r="E6" i="26"/>
  <c r="E9" i="21"/>
  <c r="E6" i="23"/>
  <c r="C19" i="21"/>
  <c r="C30" i="27"/>
  <c r="C33" i="27" s="1"/>
  <c r="C36" i="27"/>
  <c r="C38" i="27" s="1"/>
  <c r="C59" i="28" s="1"/>
  <c r="C60" i="28" s="1"/>
  <c r="C5" i="27"/>
  <c r="C10" i="27"/>
  <c r="W64" i="4"/>
  <c r="X7" i="7"/>
  <c r="W61" i="4"/>
  <c r="W75" i="4"/>
  <c r="W85" i="4" s="1"/>
  <c r="V18" i="8" s="1"/>
  <c r="X17" i="4"/>
  <c r="X60" i="4" s="1"/>
  <c r="X18" i="4"/>
  <c r="M9" i="10"/>
  <c r="M6" i="10"/>
  <c r="M11" i="10" s="1"/>
  <c r="Q99" i="5"/>
  <c r="AC98" i="5"/>
  <c r="Y104" i="6"/>
  <c r="Z103" i="6"/>
  <c r="Y105" i="6"/>
  <c r="V41" i="6"/>
  <c r="V16" i="6"/>
  <c r="V17" i="6" s="1"/>
  <c r="V42" i="6" s="1"/>
  <c r="U10" i="7" s="1"/>
  <c r="X13" i="6"/>
  <c r="W15" i="6"/>
  <c r="W14" i="6"/>
  <c r="W40" i="6" s="1"/>
  <c r="V9" i="19" s="1"/>
  <c r="W58" i="6"/>
  <c r="W59" i="6" s="1"/>
  <c r="W116" i="6" s="1"/>
  <c r="W115" i="6"/>
  <c r="X56" i="6"/>
  <c r="X114" i="6" s="1"/>
  <c r="X57" i="6"/>
  <c r="Y55" i="6"/>
  <c r="W32" i="6"/>
  <c r="W33" i="6" s="1"/>
  <c r="W34" i="6" s="1"/>
  <c r="W35" i="6" s="1"/>
  <c r="M34" i="18"/>
  <c r="M35" i="18" s="1"/>
  <c r="N5" i="10"/>
  <c r="N9" i="10" s="1"/>
  <c r="AD83" i="5"/>
  <c r="N19" i="18"/>
  <c r="N9" i="18" s="1"/>
  <c r="N4" i="18" s="1"/>
  <c r="N25" i="7"/>
  <c r="N28" i="7" s="1"/>
  <c r="N29" i="7" s="1"/>
  <c r="R7" i="19"/>
  <c r="R8" i="19" s="1"/>
  <c r="S44" i="6"/>
  <c r="F6" i="27"/>
  <c r="F39" i="26"/>
  <c r="F17" i="27"/>
  <c r="F37" i="27"/>
  <c r="F12" i="27"/>
  <c r="F20" i="31"/>
  <c r="F15" i="31"/>
  <c r="F38" i="23"/>
  <c r="X74" i="6"/>
  <c r="X75" i="6" s="1"/>
  <c r="V68" i="4"/>
  <c r="W17" i="18" s="1"/>
  <c r="W8" i="7"/>
  <c r="O69" i="1"/>
  <c r="N10" i="8" s="1"/>
  <c r="N13" i="8" s="1"/>
  <c r="N4" i="8" s="1"/>
  <c r="U119" i="6"/>
  <c r="U121" i="6" s="1"/>
  <c r="T119" i="6"/>
  <c r="T121" i="6" s="1"/>
  <c r="AD88" i="5"/>
  <c r="L95" i="10" s="1"/>
  <c r="G55" i="21"/>
  <c r="U70" i="4"/>
  <c r="X32" i="9" l="1"/>
  <c r="X34" i="9" s="1"/>
  <c r="X35" i="9" s="1"/>
  <c r="X36" i="9" s="1"/>
  <c r="W36" i="9"/>
  <c r="X139" i="5"/>
  <c r="X155" i="5" s="1"/>
  <c r="V16" i="8" s="1"/>
  <c r="U76" i="9"/>
  <c r="V63" i="9"/>
  <c r="V64" i="9" s="1"/>
  <c r="W59" i="9"/>
  <c r="W61" i="9" s="1"/>
  <c r="W62" i="9" s="1"/>
  <c r="W51" i="9"/>
  <c r="X47" i="9"/>
  <c r="X49" i="9" s="1"/>
  <c r="X50" i="9" s="1"/>
  <c r="X51" i="9" s="1"/>
  <c r="R84" i="9"/>
  <c r="S83" i="9"/>
  <c r="W83" i="1"/>
  <c r="W85" i="1" s="1"/>
  <c r="V17" i="8" s="1"/>
  <c r="W75" i="1"/>
  <c r="W77" i="1" s="1"/>
  <c r="V11" i="8" s="1"/>
  <c r="W60" i="1"/>
  <c r="Y84" i="5"/>
  <c r="Y19" i="5"/>
  <c r="X6" i="18"/>
  <c r="X6" i="7"/>
  <c r="W24" i="9"/>
  <c r="W37" i="9" s="1"/>
  <c r="W70" i="9" s="1"/>
  <c r="W75" i="9" s="1"/>
  <c r="X20" i="9"/>
  <c r="X22" i="9" s="1"/>
  <c r="X23" i="9" s="1"/>
  <c r="V19" i="8"/>
  <c r="Y154" i="5"/>
  <c r="Y96" i="5"/>
  <c r="AE96" i="5" s="1"/>
  <c r="N103" i="10" s="1"/>
  <c r="Y126" i="5"/>
  <c r="Y87" i="5"/>
  <c r="AE87" i="5" s="1"/>
  <c r="N94" i="10" s="1"/>
  <c r="Y14" i="7"/>
  <c r="G61" i="21" s="1"/>
  <c r="U87" i="1"/>
  <c r="V10" i="18"/>
  <c r="V12" i="18" s="1"/>
  <c r="V13" i="18" s="1"/>
  <c r="V14" i="18" s="1"/>
  <c r="V15" i="18" s="1"/>
  <c r="V16" i="18" s="1"/>
  <c r="V13" i="19" s="1"/>
  <c r="X84" i="1"/>
  <c r="X76" i="1"/>
  <c r="F15" i="26"/>
  <c r="G15" i="23"/>
  <c r="Y135" i="5"/>
  <c r="Y139" i="5" s="1"/>
  <c r="Y107" i="5"/>
  <c r="Y111" i="5" s="1"/>
  <c r="Y36" i="5"/>
  <c r="Y32" i="5"/>
  <c r="V71" i="9"/>
  <c r="Y143" i="5"/>
  <c r="Y145" i="5" s="1"/>
  <c r="Y115" i="5"/>
  <c r="Y117" i="5" s="1"/>
  <c r="Y45" i="5"/>
  <c r="F16" i="32"/>
  <c r="F20" i="28"/>
  <c r="F22" i="28" s="1"/>
  <c r="F47" i="25"/>
  <c r="F52" i="28"/>
  <c r="F57" i="28"/>
  <c r="F64" i="25"/>
  <c r="F11" i="32"/>
  <c r="F45" i="23"/>
  <c r="F75" i="23" s="1"/>
  <c r="F59" i="25"/>
  <c r="F26" i="28"/>
  <c r="F27" i="28" s="1"/>
  <c r="F41" i="28" s="1"/>
  <c r="F26" i="27"/>
  <c r="F23" i="32"/>
  <c r="F6" i="32"/>
  <c r="F5" i="28"/>
  <c r="F47" i="28"/>
  <c r="F46" i="26"/>
  <c r="F50" i="25"/>
  <c r="F53" i="25"/>
  <c r="F58" i="25"/>
  <c r="F51" i="25"/>
  <c r="F52" i="25"/>
  <c r="X55" i="1"/>
  <c r="X58" i="1"/>
  <c r="W5" i="18"/>
  <c r="V61" i="1"/>
  <c r="W4" i="7" s="1"/>
  <c r="W7" i="10"/>
  <c r="V7" i="10"/>
  <c r="V8" i="10" s="1"/>
  <c r="H79" i="9"/>
  <c r="H80" i="9" s="1"/>
  <c r="J17" i="10" s="1"/>
  <c r="Y85" i="5"/>
  <c r="AE85" i="5" s="1"/>
  <c r="N92" i="10" s="1"/>
  <c r="Y94" i="5"/>
  <c r="AE94" i="5" s="1"/>
  <c r="N101" i="10" s="1"/>
  <c r="Y148" i="5"/>
  <c r="Y120" i="5"/>
  <c r="Y8" i="18"/>
  <c r="Z89" i="6"/>
  <c r="Z88" i="6"/>
  <c r="Y123" i="5"/>
  <c r="Y151" i="5"/>
  <c r="Y86" i="5"/>
  <c r="AE86" i="5" s="1"/>
  <c r="N93" i="10" s="1"/>
  <c r="O93" i="10" s="1"/>
  <c r="Y95" i="5"/>
  <c r="AE95" i="5" s="1"/>
  <c r="N102" i="10" s="1"/>
  <c r="O102" i="10" s="1"/>
  <c r="Y90" i="6"/>
  <c r="Y91" i="6" s="1"/>
  <c r="U5" i="7"/>
  <c r="U12" i="7" s="1"/>
  <c r="U16" i="7" s="1"/>
  <c r="F56" i="21"/>
  <c r="N25" i="19"/>
  <c r="N27" i="19" s="1"/>
  <c r="N36" i="19" s="1"/>
  <c r="V97" i="5"/>
  <c r="V88" i="5"/>
  <c r="G57" i="26"/>
  <c r="G56" i="23"/>
  <c r="S98" i="5"/>
  <c r="S99" i="5" s="1"/>
  <c r="S89" i="5"/>
  <c r="S90" i="5" s="1"/>
  <c r="S17" i="7"/>
  <c r="S20" i="7" s="1"/>
  <c r="S18" i="18"/>
  <c r="V92" i="5"/>
  <c r="V83" i="5"/>
  <c r="T89" i="5"/>
  <c r="T90" i="5" s="1"/>
  <c r="T98" i="5"/>
  <c r="T99" i="5" s="1"/>
  <c r="T17" i="7"/>
  <c r="T20" i="7" s="1"/>
  <c r="T18" i="18"/>
  <c r="L90" i="10"/>
  <c r="X115" i="6"/>
  <c r="X58" i="6"/>
  <c r="X59" i="6" s="1"/>
  <c r="X116" i="6" s="1"/>
  <c r="X15" i="6"/>
  <c r="X14" i="6"/>
  <c r="X40" i="6" s="1"/>
  <c r="W9" i="19" s="1"/>
  <c r="Y13" i="6"/>
  <c r="U6" i="19"/>
  <c r="Z105" i="6"/>
  <c r="Z104" i="6"/>
  <c r="J105" i="10"/>
  <c r="AC99" i="5"/>
  <c r="J106" i="10" s="1"/>
  <c r="N10" i="10"/>
  <c r="N12" i="10" s="1"/>
  <c r="M10" i="10"/>
  <c r="M12" i="10" s="1"/>
  <c r="X7" i="18"/>
  <c r="X8" i="7"/>
  <c r="W68" i="4"/>
  <c r="X17" i="18" s="1"/>
  <c r="C20" i="21"/>
  <c r="C12" i="25"/>
  <c r="C44" i="21"/>
  <c r="C8" i="25"/>
  <c r="C15" i="25"/>
  <c r="C21" i="31"/>
  <c r="C22" i="31" s="1"/>
  <c r="C13" i="25"/>
  <c r="C17" i="25"/>
  <c r="C6" i="25"/>
  <c r="C16" i="25"/>
  <c r="C7" i="25"/>
  <c r="C6" i="31"/>
  <c r="C7" i="31" s="1"/>
  <c r="C9" i="25"/>
  <c r="C19" i="25"/>
  <c r="C10" i="31"/>
  <c r="C12" i="31" s="1"/>
  <c r="C14" i="25"/>
  <c r="R99" i="5"/>
  <c r="Y74" i="6"/>
  <c r="Y75" i="6" s="1"/>
  <c r="S7" i="19"/>
  <c r="S8" i="19" s="1"/>
  <c r="T44" i="6"/>
  <c r="P22" i="7"/>
  <c r="P23" i="7" s="1"/>
  <c r="Q21" i="7"/>
  <c r="L99" i="10"/>
  <c r="Y31" i="6"/>
  <c r="Z29" i="6"/>
  <c r="Y30" i="6"/>
  <c r="X32" i="6"/>
  <c r="X33" i="6" s="1"/>
  <c r="X34" i="6" s="1"/>
  <c r="X35" i="6" s="1"/>
  <c r="J96" i="10"/>
  <c r="AC90" i="5"/>
  <c r="J97" i="10" s="1"/>
  <c r="E60" i="26"/>
  <c r="E6" i="34"/>
  <c r="E7" i="34" s="1"/>
  <c r="E32" i="32"/>
  <c r="E15" i="32"/>
  <c r="E17" i="32" s="1"/>
  <c r="E20" i="32"/>
  <c r="E22" i="32" s="1"/>
  <c r="E24" i="32" s="1"/>
  <c r="E49" i="32"/>
  <c r="E25" i="31"/>
  <c r="E68" i="21"/>
  <c r="E61" i="25"/>
  <c r="E59" i="23"/>
  <c r="Q46" i="10"/>
  <c r="Q48" i="10" s="1"/>
  <c r="Q49" i="10"/>
  <c r="V70" i="4"/>
  <c r="G52" i="26"/>
  <c r="G51" i="23"/>
  <c r="P12" i="19"/>
  <c r="N6" i="8"/>
  <c r="N7" i="8" s="1"/>
  <c r="P24" i="18" s="1"/>
  <c r="P22" i="18" s="1"/>
  <c r="N34" i="18"/>
  <c r="N35" i="18" s="1"/>
  <c r="O5" i="10"/>
  <c r="M14" i="19"/>
  <c r="L66" i="9"/>
  <c r="Y57" i="6"/>
  <c r="Z55" i="6"/>
  <c r="Y56" i="6"/>
  <c r="Y114" i="6" s="1"/>
  <c r="W41" i="6"/>
  <c r="W16" i="6"/>
  <c r="W17" i="6" s="1"/>
  <c r="W42" i="6" s="1"/>
  <c r="V10" i="7" s="1"/>
  <c r="Y106" i="6"/>
  <c r="Y107" i="6" s="1"/>
  <c r="R40" i="10"/>
  <c r="P68" i="1"/>
  <c r="X75" i="4"/>
  <c r="X85" i="4" s="1"/>
  <c r="W18" i="8" s="1"/>
  <c r="X64" i="4"/>
  <c r="X61" i="4"/>
  <c r="Y7" i="7"/>
  <c r="E9" i="26"/>
  <c r="E9" i="23"/>
  <c r="E48" i="28"/>
  <c r="E49" i="28" s="1"/>
  <c r="R20" i="7"/>
  <c r="R90" i="5"/>
  <c r="W108" i="6"/>
  <c r="V109" i="6"/>
  <c r="Z73" i="6"/>
  <c r="Z72" i="6"/>
  <c r="V18" i="6"/>
  <c r="U43" i="6"/>
  <c r="U19" i="6"/>
  <c r="O19" i="18"/>
  <c r="O9" i="18" s="1"/>
  <c r="O4" i="18" s="1"/>
  <c r="O25" i="7"/>
  <c r="O28" i="7" s="1"/>
  <c r="O29" i="7" s="1"/>
  <c r="W60" i="6"/>
  <c r="V117" i="6"/>
  <c r="V118" i="6" s="1"/>
  <c r="V119" i="6" s="1"/>
  <c r="V121" i="6" s="1"/>
  <c r="V61" i="6"/>
  <c r="R35" i="10"/>
  <c r="P67" i="1"/>
  <c r="P69" i="1" s="1"/>
  <c r="O10" i="8" s="1"/>
  <c r="E62" i="26"/>
  <c r="E63" i="25"/>
  <c r="M27" i="19"/>
  <c r="M36" i="19" s="1"/>
  <c r="D26" i="21"/>
  <c r="L14" i="19"/>
  <c r="L15" i="19" s="1"/>
  <c r="L17" i="19" s="1"/>
  <c r="L38" i="19" s="1"/>
  <c r="K66" i="9"/>
  <c r="Q52" i="10"/>
  <c r="Q54" i="10" s="1"/>
  <c r="Q55" i="10"/>
  <c r="W76" i="6"/>
  <c r="V77" i="6"/>
  <c r="X92" i="6"/>
  <c r="W93" i="6"/>
  <c r="N6" i="10"/>
  <c r="N11" i="10" s="1"/>
  <c r="H15" i="10"/>
  <c r="H16" i="10" s="1"/>
  <c r="X59" i="9" l="1"/>
  <c r="X61" i="9" s="1"/>
  <c r="X62" i="9" s="1"/>
  <c r="X63" i="9" s="1"/>
  <c r="W63" i="9"/>
  <c r="X64" i="9"/>
  <c r="W8" i="10"/>
  <c r="V20" i="8"/>
  <c r="V5" i="8" s="1"/>
  <c r="X33" i="19" s="1"/>
  <c r="X34" i="19" s="1"/>
  <c r="W64" i="9"/>
  <c r="K96" i="10"/>
  <c r="X83" i="1"/>
  <c r="X85" i="1" s="1"/>
  <c r="W17" i="8" s="1"/>
  <c r="G36" i="21" s="1"/>
  <c r="G36" i="26" s="1"/>
  <c r="X75" i="1"/>
  <c r="X77" i="1" s="1"/>
  <c r="W11" i="8" s="1"/>
  <c r="G13" i="21" s="1"/>
  <c r="X60" i="1"/>
  <c r="V73" i="9"/>
  <c r="V72" i="9"/>
  <c r="V76" i="9" s="1"/>
  <c r="Y33" i="5"/>
  <c r="Y11" i="18" s="1"/>
  <c r="X24" i="9"/>
  <c r="X37" i="9" s="1"/>
  <c r="X70" i="9" s="1"/>
  <c r="W19" i="8"/>
  <c r="G38" i="21" s="1"/>
  <c r="Z34" i="10"/>
  <c r="AE84" i="5"/>
  <c r="N91" i="10" s="1"/>
  <c r="W71" i="9"/>
  <c r="V87" i="1"/>
  <c r="W10" i="18"/>
  <c r="W12" i="18" s="1"/>
  <c r="W13" i="18" s="1"/>
  <c r="W14" i="18" s="1"/>
  <c r="W15" i="18" s="1"/>
  <c r="W16" i="18" s="1"/>
  <c r="W13" i="19" s="1"/>
  <c r="Y6" i="18"/>
  <c r="G58" i="26"/>
  <c r="G57" i="23"/>
  <c r="X5" i="18"/>
  <c r="W61" i="1"/>
  <c r="X4" i="7" s="1"/>
  <c r="T83" i="9"/>
  <c r="S84" i="9"/>
  <c r="Z90" i="6"/>
  <c r="Z91" i="6" s="1"/>
  <c r="AA91" i="6" s="1"/>
  <c r="W70" i="4"/>
  <c r="K105" i="10"/>
  <c r="Y127" i="5"/>
  <c r="W12" i="8" s="1"/>
  <c r="G14" i="21" s="1"/>
  <c r="Y155" i="5"/>
  <c r="W16" i="8" s="1"/>
  <c r="G35" i="21" s="1"/>
  <c r="W88" i="5"/>
  <c r="W97" i="5"/>
  <c r="U98" i="5"/>
  <c r="U18" i="18"/>
  <c r="U89" i="5"/>
  <c r="U17" i="7"/>
  <c r="F65" i="21" s="1"/>
  <c r="O25" i="19"/>
  <c r="O27" i="19" s="1"/>
  <c r="O36" i="19" s="1"/>
  <c r="V5" i="7"/>
  <c r="V12" i="7" s="1"/>
  <c r="V16" i="7" s="1"/>
  <c r="X76" i="6"/>
  <c r="W77" i="6"/>
  <c r="O13" i="8"/>
  <c r="O4" i="8" s="1"/>
  <c r="E12" i="21"/>
  <c r="X60" i="6"/>
  <c r="W117" i="6"/>
  <c r="W118" i="6" s="1"/>
  <c r="W119" i="6" s="1"/>
  <c r="W121" i="6" s="1"/>
  <c r="W61" i="6"/>
  <c r="O34" i="18"/>
  <c r="O35" i="18" s="1"/>
  <c r="P5" i="10"/>
  <c r="T7" i="19"/>
  <c r="T8" i="19" s="1"/>
  <c r="U44" i="6"/>
  <c r="S35" i="10"/>
  <c r="Q67" i="1"/>
  <c r="Y7" i="18"/>
  <c r="G37" i="21"/>
  <c r="W20" i="8"/>
  <c r="W5" i="8" s="1"/>
  <c r="Y33" i="19" s="1"/>
  <c r="Y34" i="19" s="1"/>
  <c r="R53" i="10"/>
  <c r="R51" i="10"/>
  <c r="Y115" i="6"/>
  <c r="Y58" i="6"/>
  <c r="Y59" i="6" s="1"/>
  <c r="Y116" i="6" s="1"/>
  <c r="D16" i="21"/>
  <c r="M15" i="19"/>
  <c r="M17" i="19" s="1"/>
  <c r="M38" i="19" s="1"/>
  <c r="N14" i="19"/>
  <c r="N15" i="19" s="1"/>
  <c r="N17" i="19" s="1"/>
  <c r="N38" i="19" s="1"/>
  <c r="M66" i="9"/>
  <c r="K97" i="10"/>
  <c r="K91" i="10"/>
  <c r="K94" i="10"/>
  <c r="K92" i="10"/>
  <c r="K95" i="10"/>
  <c r="K90" i="10"/>
  <c r="Z30" i="6"/>
  <c r="Z31" i="6"/>
  <c r="R21" i="7"/>
  <c r="Q22" i="7"/>
  <c r="Q23" i="7" s="1"/>
  <c r="X83" i="5"/>
  <c r="X92" i="5"/>
  <c r="Z106" i="6"/>
  <c r="Z107" i="6" s="1"/>
  <c r="AA107" i="6" s="1"/>
  <c r="U40" i="10"/>
  <c r="S68" i="1"/>
  <c r="T35" i="10"/>
  <c r="R67" i="1"/>
  <c r="U20" i="7"/>
  <c r="Y92" i="6"/>
  <c r="X93" i="6"/>
  <c r="D26" i="26"/>
  <c r="D27" i="21"/>
  <c r="D25" i="23"/>
  <c r="R47" i="10"/>
  <c r="R45" i="10"/>
  <c r="F7" i="21"/>
  <c r="W18" i="6"/>
  <c r="V43" i="6"/>
  <c r="V19" i="6"/>
  <c r="Z74" i="6"/>
  <c r="Z75" i="6" s="1"/>
  <c r="AA75" i="6" s="1"/>
  <c r="X108" i="6"/>
  <c r="W109" i="6"/>
  <c r="G53" i="21"/>
  <c r="X68" i="4"/>
  <c r="Y17" i="18" s="1"/>
  <c r="Y8" i="7"/>
  <c r="G54" i="21" s="1"/>
  <c r="V6" i="19"/>
  <c r="Z56" i="6"/>
  <c r="Z114" i="6" s="1"/>
  <c r="Z57" i="6"/>
  <c r="O9" i="10"/>
  <c r="O6" i="10"/>
  <c r="O11" i="10" s="1"/>
  <c r="W83" i="5"/>
  <c r="W92" i="5"/>
  <c r="E11" i="34"/>
  <c r="E65" i="26"/>
  <c r="E66" i="25"/>
  <c r="E64" i="23"/>
  <c r="Y32" i="6"/>
  <c r="Y33" i="6" s="1"/>
  <c r="Y34" i="6" s="1"/>
  <c r="Y35" i="6" s="1"/>
  <c r="P19" i="18"/>
  <c r="P9" i="18" s="1"/>
  <c r="P4" i="18" s="1"/>
  <c r="P25" i="7"/>
  <c r="P28" i="7" s="1"/>
  <c r="P29" i="7" s="1"/>
  <c r="E70" i="21"/>
  <c r="Q68" i="1"/>
  <c r="S40" i="10"/>
  <c r="K106" i="10"/>
  <c r="K100" i="10"/>
  <c r="K103" i="10"/>
  <c r="K101" i="10"/>
  <c r="K104" i="10"/>
  <c r="K99" i="10"/>
  <c r="Y14" i="6"/>
  <c r="Y40" i="6" s="1"/>
  <c r="X9" i="19" s="1"/>
  <c r="Z13" i="6"/>
  <c r="Y15" i="6"/>
  <c r="X16" i="6"/>
  <c r="X17" i="6" s="1"/>
  <c r="X42" i="6" s="1"/>
  <c r="W10" i="7" s="1"/>
  <c r="X41" i="6"/>
  <c r="U35" i="10"/>
  <c r="S67" i="1"/>
  <c r="S69" i="1" s="1"/>
  <c r="R10" i="8" s="1"/>
  <c r="R13" i="8" s="1"/>
  <c r="R4" i="8" s="1"/>
  <c r="R68" i="1"/>
  <c r="T40" i="10"/>
  <c r="F21" i="32"/>
  <c r="F53" i="26"/>
  <c r="F54" i="25"/>
  <c r="F52" i="23"/>
  <c r="F51" i="21"/>
  <c r="Y6" i="7" l="1"/>
  <c r="G52" i="21" s="1"/>
  <c r="W73" i="9"/>
  <c r="W72" i="9"/>
  <c r="W76" i="9" s="1"/>
  <c r="Y7" i="10" s="1"/>
  <c r="X75" i="9"/>
  <c r="X71" i="9"/>
  <c r="X7" i="10"/>
  <c r="X8" i="10" s="1"/>
  <c r="X61" i="1"/>
  <c r="Y4" i="7" s="1"/>
  <c r="G49" i="21" s="1"/>
  <c r="G51" i="25" s="1"/>
  <c r="Y5" i="18"/>
  <c r="U83" i="9"/>
  <c r="T84" i="9"/>
  <c r="X10" i="18"/>
  <c r="X12" i="18" s="1"/>
  <c r="X13" i="18" s="1"/>
  <c r="W87" i="1"/>
  <c r="G48" i="23"/>
  <c r="G49" i="26"/>
  <c r="G38" i="26"/>
  <c r="G37" i="23"/>
  <c r="G13" i="26"/>
  <c r="G13" i="23"/>
  <c r="G23" i="27"/>
  <c r="G21" i="28"/>
  <c r="G25" i="28"/>
  <c r="G14" i="23"/>
  <c r="G14" i="26"/>
  <c r="G35" i="26"/>
  <c r="G35" i="28"/>
  <c r="G21" i="27"/>
  <c r="G31" i="28"/>
  <c r="G32" i="28" s="1"/>
  <c r="W5" i="7"/>
  <c r="W12" i="7" s="1"/>
  <c r="W16" i="7" s="1"/>
  <c r="P25" i="19"/>
  <c r="P27" i="19" s="1"/>
  <c r="P36" i="19" s="1"/>
  <c r="F48" i="26"/>
  <c r="F30" i="28"/>
  <c r="F36" i="28"/>
  <c r="F37" i="28" s="1"/>
  <c r="F42" i="28" s="1"/>
  <c r="F10" i="28"/>
  <c r="F16" i="28"/>
  <c r="F32" i="27"/>
  <c r="F49" i="25"/>
  <c r="F58" i="21"/>
  <c r="F47" i="23"/>
  <c r="T51" i="10"/>
  <c r="T53" i="10"/>
  <c r="R6" i="8"/>
  <c r="T12" i="19"/>
  <c r="Y41" i="6"/>
  <c r="Y16" i="6"/>
  <c r="Y17" i="6" s="1"/>
  <c r="Y42" i="6" s="1"/>
  <c r="X10" i="7" s="1"/>
  <c r="Z58" i="6"/>
  <c r="Z59" i="6" s="1"/>
  <c r="Z115" i="6"/>
  <c r="G51" i="26"/>
  <c r="G50" i="23"/>
  <c r="G50" i="26"/>
  <c r="G49" i="23"/>
  <c r="U7" i="19"/>
  <c r="U8" i="19" s="1"/>
  <c r="V44" i="6"/>
  <c r="F6" i="21" s="1"/>
  <c r="V89" i="5"/>
  <c r="V18" i="18"/>
  <c r="V98" i="5"/>
  <c r="V17" i="7"/>
  <c r="R46" i="10"/>
  <c r="R48" i="10" s="1"/>
  <c r="R49" i="10"/>
  <c r="D16" i="31"/>
  <c r="D17" i="31" s="1"/>
  <c r="D5" i="31"/>
  <c r="D50" i="32"/>
  <c r="D41" i="21"/>
  <c r="D11" i="31"/>
  <c r="D27" i="26"/>
  <c r="D26" i="23"/>
  <c r="D77" i="23" s="1"/>
  <c r="D43" i="32"/>
  <c r="D44" i="32" s="1"/>
  <c r="R22" i="7"/>
  <c r="R23" i="7" s="1"/>
  <c r="S21" i="7"/>
  <c r="D16" i="26"/>
  <c r="D16" i="27"/>
  <c r="D18" i="27" s="1"/>
  <c r="D17" i="21"/>
  <c r="D16" i="23"/>
  <c r="X97" i="5"/>
  <c r="X88" i="5"/>
  <c r="G37" i="26"/>
  <c r="G39" i="21"/>
  <c r="S45" i="10"/>
  <c r="S47" i="10"/>
  <c r="N66" i="9"/>
  <c r="O14" i="19"/>
  <c r="O15" i="19" s="1"/>
  <c r="O17" i="19" s="1"/>
  <c r="O38" i="19" s="1"/>
  <c r="E12" i="26"/>
  <c r="E31" i="27"/>
  <c r="E11" i="27"/>
  <c r="E22" i="27"/>
  <c r="E24" i="27" s="1"/>
  <c r="E25" i="27" s="1"/>
  <c r="E27" i="27" s="1"/>
  <c r="E12" i="23"/>
  <c r="E15" i="28"/>
  <c r="E17" i="28" s="1"/>
  <c r="E40" i="28" s="1"/>
  <c r="E43" i="28" s="1"/>
  <c r="E44" i="28" s="1"/>
  <c r="E6" i="28"/>
  <c r="E7" i="28" s="1"/>
  <c r="E11" i="28"/>
  <c r="E12" i="28" s="1"/>
  <c r="F62" i="26"/>
  <c r="F63" i="25"/>
  <c r="F61" i="23"/>
  <c r="R69" i="1"/>
  <c r="Q10" i="8" s="1"/>
  <c r="Q13" i="8" s="1"/>
  <c r="Q4" i="8" s="1"/>
  <c r="V20" i="7"/>
  <c r="U47" i="10"/>
  <c r="U45" i="10"/>
  <c r="W6" i="19"/>
  <c r="Z14" i="6"/>
  <c r="Z40" i="6" s="1"/>
  <c r="Y9" i="19" s="1"/>
  <c r="G8" i="21" s="1"/>
  <c r="G8" i="26" s="1"/>
  <c r="Z15" i="6"/>
  <c r="S51" i="10"/>
  <c r="S53" i="10"/>
  <c r="E67" i="26"/>
  <c r="E68" i="25"/>
  <c r="E66" i="23"/>
  <c r="P34" i="18"/>
  <c r="P35" i="18" s="1"/>
  <c r="Q5" i="10"/>
  <c r="O10" i="10"/>
  <c r="O12" i="10" s="1"/>
  <c r="Y108" i="6"/>
  <c r="X109" i="6"/>
  <c r="W43" i="6"/>
  <c r="X18" i="6"/>
  <c r="W19" i="6"/>
  <c r="F58" i="28"/>
  <c r="F7" i="26"/>
  <c r="F7" i="23"/>
  <c r="Z92" i="6"/>
  <c r="Z93" i="6" s="1"/>
  <c r="Y93" i="6"/>
  <c r="T45" i="10"/>
  <c r="T47" i="10"/>
  <c r="U51" i="10"/>
  <c r="U53" i="10"/>
  <c r="Q19" i="18"/>
  <c r="Q9" i="18" s="1"/>
  <c r="Q4" i="18" s="1"/>
  <c r="Q25" i="7"/>
  <c r="Q28" i="7" s="1"/>
  <c r="Q29" i="7" s="1"/>
  <c r="Z32" i="6"/>
  <c r="Z33" i="6" s="1"/>
  <c r="R52" i="10"/>
  <c r="R54" i="10" s="1"/>
  <c r="R55" i="10"/>
  <c r="P9" i="10"/>
  <c r="P10" i="10" s="1"/>
  <c r="P12" i="10" s="1"/>
  <c r="P6" i="10"/>
  <c r="P11" i="10" s="1"/>
  <c r="Y60" i="6"/>
  <c r="X117" i="6"/>
  <c r="X118" i="6" s="1"/>
  <c r="X61" i="6"/>
  <c r="O6" i="8"/>
  <c r="O7" i="8" s="1"/>
  <c r="Q24" i="18" s="1"/>
  <c r="Q22" i="18" s="1"/>
  <c r="Q12" i="19"/>
  <c r="Y76" i="6"/>
  <c r="X77" i="6"/>
  <c r="U90" i="5"/>
  <c r="AD89" i="5"/>
  <c r="U99" i="5"/>
  <c r="AD98" i="5"/>
  <c r="E72" i="21"/>
  <c r="X70" i="4"/>
  <c r="Q69" i="1"/>
  <c r="P10" i="8" s="1"/>
  <c r="P13" i="8" s="1"/>
  <c r="P4" i="8" s="1"/>
  <c r="X14" i="18" l="1"/>
  <c r="X15" i="18" s="1"/>
  <c r="X16" i="18" s="1"/>
  <c r="X13" i="19" s="1"/>
  <c r="U84" i="9"/>
  <c r="V83" i="9"/>
  <c r="X72" i="9"/>
  <c r="X73" i="9"/>
  <c r="G59" i="25"/>
  <c r="G47" i="25"/>
  <c r="G26" i="28"/>
  <c r="G27" i="28" s="1"/>
  <c r="G41" i="28" s="1"/>
  <c r="G46" i="26"/>
  <c r="G64" i="25"/>
  <c r="G26" i="27"/>
  <c r="G50" i="25"/>
  <c r="G57" i="28"/>
  <c r="G47" i="28"/>
  <c r="G16" i="32"/>
  <c r="G23" i="32"/>
  <c r="G5" i="28"/>
  <c r="G52" i="28"/>
  <c r="G11" i="32"/>
  <c r="G6" i="32"/>
  <c r="G20" i="28"/>
  <c r="G22" i="28" s="1"/>
  <c r="G45" i="23"/>
  <c r="G75" i="23" s="1"/>
  <c r="G58" i="25"/>
  <c r="G53" i="25"/>
  <c r="G52" i="25"/>
  <c r="Y10" i="18"/>
  <c r="Y12" i="18" s="1"/>
  <c r="Y13" i="18" s="1"/>
  <c r="Y14" i="18" s="1"/>
  <c r="Y15" i="18" s="1"/>
  <c r="Y16" i="18" s="1"/>
  <c r="Y13" i="19" s="1"/>
  <c r="G15" i="21" s="1"/>
  <c r="G15" i="26" s="1"/>
  <c r="X87" i="1"/>
  <c r="Y8" i="10"/>
  <c r="X76" i="9"/>
  <c r="X5" i="7"/>
  <c r="X12" i="7" s="1"/>
  <c r="X16" i="7" s="1"/>
  <c r="Z34" i="6"/>
  <c r="Z35" i="6" s="1"/>
  <c r="AA33" i="6"/>
  <c r="Q25" i="19"/>
  <c r="E27" i="32"/>
  <c r="E10" i="34"/>
  <c r="E12" i="34" s="1"/>
  <c r="E15" i="34" s="1"/>
  <c r="E16" i="34" s="1"/>
  <c r="E10" i="32"/>
  <c r="E12" i="32" s="1"/>
  <c r="E42" i="32"/>
  <c r="E37" i="32"/>
  <c r="E73" i="21"/>
  <c r="E69" i="26"/>
  <c r="E70" i="25"/>
  <c r="E68" i="23"/>
  <c r="E74" i="23" s="1"/>
  <c r="V40" i="10"/>
  <c r="T68" i="1"/>
  <c r="V35" i="10"/>
  <c r="T67" i="1"/>
  <c r="T69" i="1" s="1"/>
  <c r="S10" i="8" s="1"/>
  <c r="Z76" i="6"/>
  <c r="Z77" i="6" s="1"/>
  <c r="Y77" i="6"/>
  <c r="Q34" i="18"/>
  <c r="Q35" i="18" s="1"/>
  <c r="R5" i="10"/>
  <c r="I15" i="10" s="1"/>
  <c r="I16" i="10" s="1"/>
  <c r="U52" i="10"/>
  <c r="U54" i="10" s="1"/>
  <c r="U55" i="10"/>
  <c r="T46" i="10"/>
  <c r="T48" i="10" s="1"/>
  <c r="T49" i="10"/>
  <c r="X43" i="6"/>
  <c r="Y18" i="6"/>
  <c r="X19" i="6"/>
  <c r="Q9" i="10"/>
  <c r="Q10" i="10" s="1"/>
  <c r="Q12" i="10" s="1"/>
  <c r="Q6" i="10"/>
  <c r="Q11" i="10" s="1"/>
  <c r="Z41" i="6"/>
  <c r="Z16" i="6"/>
  <c r="Z17" i="6" s="1"/>
  <c r="U46" i="10"/>
  <c r="U48" i="10" s="1"/>
  <c r="U49" i="10"/>
  <c r="G12" i="27"/>
  <c r="G37" i="27"/>
  <c r="G15" i="31"/>
  <c r="G6" i="27"/>
  <c r="G17" i="27"/>
  <c r="G20" i="31"/>
  <c r="G39" i="26"/>
  <c r="G38" i="23"/>
  <c r="D19" i="21"/>
  <c r="D5" i="27"/>
  <c r="D7" i="27" s="1"/>
  <c r="D10" i="27"/>
  <c r="D13" i="27" s="1"/>
  <c r="D30" i="27"/>
  <c r="D33" i="27" s="1"/>
  <c r="D36" i="27"/>
  <c r="D38" i="27" s="1"/>
  <c r="D59" i="28" s="1"/>
  <c r="D60" i="28" s="1"/>
  <c r="D17" i="26"/>
  <c r="D17" i="23"/>
  <c r="S22" i="7"/>
  <c r="S23" i="7" s="1"/>
  <c r="T21" i="7"/>
  <c r="D24" i="25"/>
  <c r="D36" i="25"/>
  <c r="D31" i="25"/>
  <c r="D35" i="25"/>
  <c r="D39" i="25"/>
  <c r="D37" i="25"/>
  <c r="D27" i="25"/>
  <c r="D26" i="25"/>
  <c r="D30" i="25"/>
  <c r="D41" i="25"/>
  <c r="D34" i="25"/>
  <c r="D42" i="21"/>
  <c r="D25" i="25"/>
  <c r="D41" i="26"/>
  <c r="D38" i="25"/>
  <c r="D40" i="23"/>
  <c r="F6" i="26"/>
  <c r="F9" i="21"/>
  <c r="F6" i="23"/>
  <c r="AA115" i="6"/>
  <c r="Z116" i="6"/>
  <c r="AA59" i="6"/>
  <c r="X6" i="19"/>
  <c r="T52" i="10"/>
  <c r="T54" i="10" s="1"/>
  <c r="T55" i="10"/>
  <c r="F63" i="21"/>
  <c r="F5" i="32"/>
  <c r="F7" i="32" s="1"/>
  <c r="F55" i="26"/>
  <c r="F56" i="25"/>
  <c r="F54" i="23"/>
  <c r="X119" i="6"/>
  <c r="X121" i="6" s="1"/>
  <c r="P6" i="8"/>
  <c r="P7" i="8" s="1"/>
  <c r="R24" i="18" s="1"/>
  <c r="R22" i="18" s="1"/>
  <c r="R12" i="19"/>
  <c r="Y92" i="5"/>
  <c r="Y83" i="5"/>
  <c r="L105" i="10"/>
  <c r="AD99" i="5"/>
  <c r="L106" i="10" s="1"/>
  <c r="L96" i="10"/>
  <c r="AD90" i="5"/>
  <c r="L97" i="10" s="1"/>
  <c r="Z60" i="6"/>
  <c r="Y117" i="6"/>
  <c r="Y118" i="6" s="1"/>
  <c r="Y61" i="6"/>
  <c r="V7" i="19"/>
  <c r="V8" i="19" s="1"/>
  <c r="W44" i="6"/>
  <c r="Z108" i="6"/>
  <c r="Z109" i="6" s="1"/>
  <c r="Y109" i="6"/>
  <c r="P14" i="19"/>
  <c r="P15" i="19" s="1"/>
  <c r="P17" i="19" s="1"/>
  <c r="P38" i="19" s="1"/>
  <c r="O66" i="9"/>
  <c r="S52" i="10"/>
  <c r="S54" i="10" s="1"/>
  <c r="S55" i="10"/>
  <c r="Q6" i="8"/>
  <c r="Q7" i="8" s="1"/>
  <c r="S24" i="18" s="1"/>
  <c r="S22" i="18" s="1"/>
  <c r="S12" i="19"/>
  <c r="S46" i="10"/>
  <c r="S48" i="10" s="1"/>
  <c r="S49" i="10"/>
  <c r="R19" i="18"/>
  <c r="R9" i="18" s="1"/>
  <c r="R4" i="18" s="1"/>
  <c r="R25" i="7"/>
  <c r="R28" i="7" s="1"/>
  <c r="R29" i="7" s="1"/>
  <c r="D51" i="32"/>
  <c r="D52" i="32" s="1"/>
  <c r="V99" i="5"/>
  <c r="V90" i="5"/>
  <c r="V84" i="9" l="1"/>
  <c r="W83" i="9"/>
  <c r="Z7" i="10"/>
  <c r="Z8" i="10" s="1"/>
  <c r="I79" i="9"/>
  <c r="I80" i="9" s="1"/>
  <c r="K17" i="10" s="1"/>
  <c r="R25" i="19"/>
  <c r="R27" i="19" s="1"/>
  <c r="R36" i="19" s="1"/>
  <c r="W35" i="10"/>
  <c r="U67" i="1"/>
  <c r="W40" i="10"/>
  <c r="U68" i="1"/>
  <c r="S5" i="10"/>
  <c r="R34" i="18"/>
  <c r="R35" i="18" s="1"/>
  <c r="M97" i="10"/>
  <c r="M94" i="10"/>
  <c r="M91" i="10"/>
  <c r="M92" i="10"/>
  <c r="M95" i="10"/>
  <c r="M90" i="10"/>
  <c r="M106" i="10"/>
  <c r="M100" i="10"/>
  <c r="M103" i="10"/>
  <c r="M101" i="10"/>
  <c r="M104" i="10"/>
  <c r="M99" i="10"/>
  <c r="AE83" i="5"/>
  <c r="Z117" i="6"/>
  <c r="Z118" i="6" s="1"/>
  <c r="Z61" i="6"/>
  <c r="AE92" i="5"/>
  <c r="F9" i="26"/>
  <c r="F9" i="23"/>
  <c r="F48" i="28"/>
  <c r="F49" i="28" s="1"/>
  <c r="S19" i="18"/>
  <c r="S9" i="18" s="1"/>
  <c r="S4" i="18" s="1"/>
  <c r="S25" i="7"/>
  <c r="S28" i="7" s="1"/>
  <c r="S29" i="7" s="1"/>
  <c r="D61" i="28"/>
  <c r="D9" i="25"/>
  <c r="D20" i="21"/>
  <c r="D7" i="25"/>
  <c r="D10" i="31"/>
  <c r="D12" i="31" s="1"/>
  <c r="D19" i="26"/>
  <c r="D16" i="25"/>
  <c r="D19" i="25"/>
  <c r="D12" i="25"/>
  <c r="D44" i="21"/>
  <c r="D15" i="25"/>
  <c r="D6" i="25"/>
  <c r="D8" i="25"/>
  <c r="D13" i="25"/>
  <c r="D6" i="31"/>
  <c r="D7" i="31" s="1"/>
  <c r="D14" i="25"/>
  <c r="D21" i="31"/>
  <c r="D22" i="31" s="1"/>
  <c r="D17" i="25"/>
  <c r="D28" i="32"/>
  <c r="D29" i="32" s="1"/>
  <c r="D19" i="23"/>
  <c r="D76" i="23" s="1"/>
  <c r="D33" i="32"/>
  <c r="D34" i="32" s="1"/>
  <c r="D53" i="28"/>
  <c r="D54" i="28" s="1"/>
  <c r="Y6" i="19"/>
  <c r="W7" i="19"/>
  <c r="W8" i="19" s="1"/>
  <c r="X44" i="6"/>
  <c r="Q14" i="19"/>
  <c r="P66" i="9"/>
  <c r="V45" i="10"/>
  <c r="V47" i="10"/>
  <c r="V51" i="10"/>
  <c r="V53" i="10"/>
  <c r="Q27" i="19"/>
  <c r="Q36" i="19" s="1"/>
  <c r="E26" i="21"/>
  <c r="Z119" i="6"/>
  <c r="Z121" i="6" s="1"/>
  <c r="M96" i="10"/>
  <c r="M105" i="10"/>
  <c r="R7" i="8"/>
  <c r="T24" i="18" s="1"/>
  <c r="T22" i="18" s="1"/>
  <c r="W89" i="5"/>
  <c r="W98" i="5"/>
  <c r="W18" i="18"/>
  <c r="W17" i="7"/>
  <c r="F32" i="32"/>
  <c r="F15" i="32"/>
  <c r="F17" i="32" s="1"/>
  <c r="F20" i="32"/>
  <c r="F22" i="32" s="1"/>
  <c r="F24" i="32" s="1"/>
  <c r="F6" i="34"/>
  <c r="F7" i="34" s="1"/>
  <c r="F68" i="21"/>
  <c r="F60" i="26"/>
  <c r="F25" i="31"/>
  <c r="F27" i="31" s="1"/>
  <c r="F49" i="32"/>
  <c r="F61" i="25"/>
  <c r="F59" i="23"/>
  <c r="Y88" i="5"/>
  <c r="AE88" i="5" s="1"/>
  <c r="N95" i="10" s="1"/>
  <c r="Y97" i="5"/>
  <c r="AE97" i="5" s="1"/>
  <c r="N104" i="10" s="1"/>
  <c r="AA116" i="6"/>
  <c r="AB116" i="6" s="1"/>
  <c r="T22" i="7"/>
  <c r="T23" i="7" s="1"/>
  <c r="U21" i="7"/>
  <c r="Z42" i="6"/>
  <c r="Y10" i="7" s="1"/>
  <c r="AA17" i="6"/>
  <c r="Z18" i="6"/>
  <c r="Y43" i="6"/>
  <c r="Y19" i="6"/>
  <c r="R9" i="10"/>
  <c r="R10" i="10" s="1"/>
  <c r="R12" i="10" s="1"/>
  <c r="R6" i="10"/>
  <c r="R11" i="10" s="1"/>
  <c r="S13" i="8"/>
  <c r="S4" i="8" s="1"/>
  <c r="F12" i="21"/>
  <c r="Y119" i="6"/>
  <c r="Y121" i="6" s="1"/>
  <c r="X83" i="9" l="1"/>
  <c r="X84" i="9" s="1"/>
  <c r="W84" i="9"/>
  <c r="Y84" i="9" s="1"/>
  <c r="Y5" i="7"/>
  <c r="Y12" i="7" s="1"/>
  <c r="Y16" i="7" s="1"/>
  <c r="G56" i="21"/>
  <c r="S25" i="19"/>
  <c r="S27" i="19" s="1"/>
  <c r="S36" i="19" s="1"/>
  <c r="U12" i="19"/>
  <c r="S6" i="8"/>
  <c r="S7" i="8" s="1"/>
  <c r="U24" i="18" s="1"/>
  <c r="U22" i="18" s="1"/>
  <c r="X7" i="19"/>
  <c r="X8" i="19" s="1"/>
  <c r="Y44" i="6"/>
  <c r="U22" i="7"/>
  <c r="U23" i="7" s="1"/>
  <c r="V21" i="7"/>
  <c r="W90" i="5"/>
  <c r="V52" i="10"/>
  <c r="V54" i="10" s="1"/>
  <c r="V55" i="10"/>
  <c r="V49" i="10"/>
  <c r="V46" i="10"/>
  <c r="V48" i="10" s="1"/>
  <c r="E16" i="21"/>
  <c r="Q15" i="19"/>
  <c r="Q17" i="19" s="1"/>
  <c r="Q38" i="19" s="1"/>
  <c r="D38" i="32"/>
  <c r="D39" i="32" s="1"/>
  <c r="D62" i="28"/>
  <c r="G7" i="21"/>
  <c r="AA118" i="6"/>
  <c r="S9" i="10"/>
  <c r="S10" i="10" s="1"/>
  <c r="S12" i="10" s="1"/>
  <c r="S6" i="10"/>
  <c r="S11" i="10" s="1"/>
  <c r="W53" i="10"/>
  <c r="W51" i="10"/>
  <c r="W47" i="10"/>
  <c r="W45" i="10"/>
  <c r="X89" i="5"/>
  <c r="X90" i="5" s="1"/>
  <c r="X98" i="5"/>
  <c r="X99" i="5" s="1"/>
  <c r="X17" i="7"/>
  <c r="X20" i="7" s="1"/>
  <c r="X18" i="18"/>
  <c r="F11" i="27"/>
  <c r="F22" i="27"/>
  <c r="F24" i="27" s="1"/>
  <c r="F25" i="27" s="1"/>
  <c r="F27" i="27" s="1"/>
  <c r="F31" i="27"/>
  <c r="F12" i="26"/>
  <c r="F6" i="28"/>
  <c r="F7" i="28" s="1"/>
  <c r="F11" i="28"/>
  <c r="F12" i="28" s="1"/>
  <c r="F15" i="28"/>
  <c r="F17" i="28" s="1"/>
  <c r="F40" i="28" s="1"/>
  <c r="F43" i="28" s="1"/>
  <c r="F44" i="28" s="1"/>
  <c r="F12" i="23"/>
  <c r="Z43" i="6"/>
  <c r="Z19" i="6"/>
  <c r="T19" i="18"/>
  <c r="T9" i="18" s="1"/>
  <c r="T4" i="18" s="1"/>
  <c r="T25" i="7"/>
  <c r="T28" i="7" s="1"/>
  <c r="T29" i="7" s="1"/>
  <c r="F70" i="21"/>
  <c r="F11" i="34"/>
  <c r="F65" i="26"/>
  <c r="F72" i="21"/>
  <c r="F66" i="25"/>
  <c r="F64" i="23"/>
  <c r="W20" i="7"/>
  <c r="W99" i="5"/>
  <c r="Y98" i="5"/>
  <c r="Y99" i="5" s="1"/>
  <c r="Y17" i="7"/>
  <c r="G65" i="21" s="1"/>
  <c r="Y89" i="5"/>
  <c r="Y90" i="5" s="1"/>
  <c r="Y18" i="18"/>
  <c r="E27" i="21"/>
  <c r="E26" i="26"/>
  <c r="E25" i="23"/>
  <c r="S34" i="18"/>
  <c r="S35" i="18" s="1"/>
  <c r="T5" i="10"/>
  <c r="N99" i="10"/>
  <c r="N90" i="10"/>
  <c r="Q66" i="9"/>
  <c r="R14" i="19"/>
  <c r="R15" i="19" s="1"/>
  <c r="R17" i="19" s="1"/>
  <c r="R38" i="19" s="1"/>
  <c r="U69" i="1"/>
  <c r="T10" i="8" s="1"/>
  <c r="T13" i="8" s="1"/>
  <c r="T4" i="8" s="1"/>
  <c r="AE98" i="5" l="1"/>
  <c r="G62" i="26"/>
  <c r="G63" i="25"/>
  <c r="G61" i="23"/>
  <c r="X67" i="1"/>
  <c r="Z35" i="10"/>
  <c r="Z40" i="10"/>
  <c r="X68" i="1"/>
  <c r="T25" i="19"/>
  <c r="T27" i="19" s="1"/>
  <c r="T36" i="19" s="1"/>
  <c r="V12" i="19"/>
  <c r="T6" i="8"/>
  <c r="T7" i="8" s="1"/>
  <c r="V24" i="18" s="1"/>
  <c r="V22" i="18" s="1"/>
  <c r="T9" i="10"/>
  <c r="T10" i="10" s="1"/>
  <c r="T12" i="10" s="1"/>
  <c r="T6" i="10"/>
  <c r="T11" i="10" s="1"/>
  <c r="F42" i="32"/>
  <c r="F69" i="26"/>
  <c r="F10" i="32"/>
  <c r="F12" i="32" s="1"/>
  <c r="F37" i="32"/>
  <c r="F27" i="32"/>
  <c r="F10" i="34"/>
  <c r="F70" i="25"/>
  <c r="F68" i="23"/>
  <c r="F74" i="23" s="1"/>
  <c r="F67" i="26"/>
  <c r="F68" i="25"/>
  <c r="F66" i="23"/>
  <c r="T34" i="18"/>
  <c r="T35" i="18" s="1"/>
  <c r="U5" i="10"/>
  <c r="Y7" i="19"/>
  <c r="Y8" i="19" s="1"/>
  <c r="Z44" i="6"/>
  <c r="G6" i="21" s="1"/>
  <c r="Y40" i="10"/>
  <c r="W68" i="1"/>
  <c r="W46" i="10"/>
  <c r="W48" i="10" s="1"/>
  <c r="W49" i="10"/>
  <c r="W52" i="10"/>
  <c r="W54" i="10" s="1"/>
  <c r="W55" i="10"/>
  <c r="G58" i="28"/>
  <c r="G7" i="26"/>
  <c r="G7" i="23"/>
  <c r="E16" i="26"/>
  <c r="E16" i="27"/>
  <c r="E18" i="27" s="1"/>
  <c r="E17" i="21"/>
  <c r="E16" i="23"/>
  <c r="X35" i="10"/>
  <c r="V67" i="1"/>
  <c r="U19" i="18"/>
  <c r="U9" i="18" s="1"/>
  <c r="U4" i="18" s="1"/>
  <c r="U25" i="7"/>
  <c r="U28" i="7" s="1"/>
  <c r="U29" i="7" s="1"/>
  <c r="Y20" i="7"/>
  <c r="S14" i="19"/>
  <c r="S15" i="19" s="1"/>
  <c r="S17" i="19" s="1"/>
  <c r="S38" i="19" s="1"/>
  <c r="R66" i="9"/>
  <c r="E27" i="26"/>
  <c r="E50" i="32"/>
  <c r="E16" i="31"/>
  <c r="E17" i="31" s="1"/>
  <c r="E41" i="21"/>
  <c r="E11" i="31"/>
  <c r="E5" i="31"/>
  <c r="E26" i="23"/>
  <c r="E77" i="23" s="1"/>
  <c r="E43" i="32"/>
  <c r="E44" i="32" s="1"/>
  <c r="X40" i="10"/>
  <c r="V68" i="1"/>
  <c r="W67" i="1"/>
  <c r="W69" i="1" s="1"/>
  <c r="V10" i="8" s="1"/>
  <c r="V13" i="8" s="1"/>
  <c r="V4" i="8" s="1"/>
  <c r="Y35" i="10"/>
  <c r="W21" i="7"/>
  <c r="V22" i="7"/>
  <c r="V23" i="7" s="1"/>
  <c r="G21" i="32"/>
  <c r="G53" i="26"/>
  <c r="G54" i="25"/>
  <c r="G52" i="23"/>
  <c r="G51" i="21"/>
  <c r="F12" i="34"/>
  <c r="F15" i="34" s="1"/>
  <c r="F16" i="34" s="1"/>
  <c r="AE89" i="5"/>
  <c r="N105" i="10" l="1"/>
  <c r="AE99" i="5"/>
  <c r="N106" i="10" s="1"/>
  <c r="U25" i="19"/>
  <c r="Y47" i="10"/>
  <c r="Y45" i="10"/>
  <c r="G10" i="28"/>
  <c r="G30" i="28"/>
  <c r="G36" i="28"/>
  <c r="G37" i="28" s="1"/>
  <c r="G42" i="28" s="1"/>
  <c r="G16" i="28"/>
  <c r="G48" i="26"/>
  <c r="G32" i="27"/>
  <c r="G58" i="21"/>
  <c r="G49" i="25"/>
  <c r="G47" i="23"/>
  <c r="X21" i="7"/>
  <c r="W22" i="7"/>
  <c r="W23" i="7" s="1"/>
  <c r="V6" i="8"/>
  <c r="X12" i="19"/>
  <c r="X51" i="10"/>
  <c r="X53" i="10"/>
  <c r="G6" i="26"/>
  <c r="G9" i="21"/>
  <c r="G6" i="23"/>
  <c r="U9" i="10"/>
  <c r="U10" i="10" s="1"/>
  <c r="U12" i="10" s="1"/>
  <c r="U6" i="10"/>
  <c r="U11" i="10" s="1"/>
  <c r="Z45" i="10"/>
  <c r="Z47" i="10"/>
  <c r="V69" i="1"/>
  <c r="U10" i="8" s="1"/>
  <c r="U13" i="8" s="1"/>
  <c r="U4" i="8" s="1"/>
  <c r="N96" i="10"/>
  <c r="AE90" i="5"/>
  <c r="N97" i="10" s="1"/>
  <c r="V19" i="18"/>
  <c r="V9" i="18" s="1"/>
  <c r="V4" i="18" s="1"/>
  <c r="V25" i="7"/>
  <c r="V28" i="7" s="1"/>
  <c r="V29" i="7" s="1"/>
  <c r="E45" i="32"/>
  <c r="E42" i="21"/>
  <c r="E27" i="25"/>
  <c r="E39" i="25"/>
  <c r="E37" i="25"/>
  <c r="E25" i="25"/>
  <c r="E31" i="25"/>
  <c r="E26" i="25"/>
  <c r="E24" i="25"/>
  <c r="E41" i="26"/>
  <c r="E35" i="25"/>
  <c r="E36" i="25"/>
  <c r="E38" i="25"/>
  <c r="E30" i="25"/>
  <c r="E41" i="25"/>
  <c r="E34" i="25"/>
  <c r="E40" i="23"/>
  <c r="E51" i="32"/>
  <c r="E52" i="32" s="1"/>
  <c r="U34" i="18"/>
  <c r="U35" i="18" s="1"/>
  <c r="V5" i="10"/>
  <c r="X47" i="10"/>
  <c r="X45" i="10"/>
  <c r="E17" i="26"/>
  <c r="E5" i="27"/>
  <c r="E7" i="27" s="1"/>
  <c r="E10" i="27"/>
  <c r="E13" i="27" s="1"/>
  <c r="E30" i="27"/>
  <c r="E33" i="27" s="1"/>
  <c r="E36" i="27"/>
  <c r="E38" i="27" s="1"/>
  <c r="E59" i="28" s="1"/>
  <c r="E60" i="28" s="1"/>
  <c r="E19" i="21"/>
  <c r="E17" i="23"/>
  <c r="Y51" i="10"/>
  <c r="Y53" i="10"/>
  <c r="T14" i="19"/>
  <c r="T15" i="19" s="1"/>
  <c r="T17" i="19" s="1"/>
  <c r="T38" i="19" s="1"/>
  <c r="S66" i="9"/>
  <c r="Z51" i="10"/>
  <c r="Z53" i="10"/>
  <c r="F73" i="21"/>
  <c r="X69" i="1"/>
  <c r="W10" i="8" s="1"/>
  <c r="O105" i="10" l="1"/>
  <c r="O106" i="10"/>
  <c r="O100" i="10"/>
  <c r="O103" i="10"/>
  <c r="O101" i="10"/>
  <c r="O104" i="10"/>
  <c r="O99" i="10"/>
  <c r="V25" i="19"/>
  <c r="V27" i="19" s="1"/>
  <c r="V36" i="19" s="1"/>
  <c r="W13" i="8"/>
  <c r="W4" i="8" s="1"/>
  <c r="G12" i="21"/>
  <c r="Z52" i="10"/>
  <c r="Z54" i="10" s="1"/>
  <c r="Z55" i="10"/>
  <c r="Y55" i="10"/>
  <c r="Y52" i="10"/>
  <c r="Y54" i="10" s="1"/>
  <c r="E19" i="26"/>
  <c r="E14" i="25"/>
  <c r="E9" i="25"/>
  <c r="E13" i="25"/>
  <c r="E17" i="25"/>
  <c r="E6" i="25"/>
  <c r="E7" i="25"/>
  <c r="E8" i="25"/>
  <c r="E19" i="25"/>
  <c r="E12" i="25"/>
  <c r="E21" i="31"/>
  <c r="E22" i="31" s="1"/>
  <c r="E20" i="21"/>
  <c r="E10" i="31"/>
  <c r="E12" i="31" s="1"/>
  <c r="E44" i="21"/>
  <c r="E15" i="25"/>
  <c r="E6" i="31"/>
  <c r="E7" i="31" s="1"/>
  <c r="E16" i="25"/>
  <c r="E33" i="32"/>
  <c r="E34" i="32" s="1"/>
  <c r="E28" i="32"/>
  <c r="E29" i="32" s="1"/>
  <c r="E19" i="23"/>
  <c r="E76" i="23" s="1"/>
  <c r="E53" i="28"/>
  <c r="E54" i="28" s="1"/>
  <c r="U14" i="19"/>
  <c r="T66" i="9"/>
  <c r="V34" i="18"/>
  <c r="V35" i="18" s="1"/>
  <c r="W5" i="10"/>
  <c r="Z46" i="10"/>
  <c r="Z48" i="10" s="1"/>
  <c r="Z49" i="10"/>
  <c r="G9" i="26"/>
  <c r="G48" i="28"/>
  <c r="G49" i="28" s="1"/>
  <c r="G9" i="23"/>
  <c r="W19" i="18"/>
  <c r="W9" i="18" s="1"/>
  <c r="W4" i="18" s="1"/>
  <c r="W25" i="7"/>
  <c r="W28" i="7" s="1"/>
  <c r="W29" i="7" s="1"/>
  <c r="G55" i="26"/>
  <c r="G5" i="32"/>
  <c r="G7" i="32" s="1"/>
  <c r="G63" i="21"/>
  <c r="G56" i="25"/>
  <c r="G54" i="23"/>
  <c r="U27" i="19"/>
  <c r="U36" i="19" s="1"/>
  <c r="F26" i="21"/>
  <c r="O96" i="10"/>
  <c r="E61" i="28"/>
  <c r="X46" i="10"/>
  <c r="X48" i="10" s="1"/>
  <c r="X49" i="10"/>
  <c r="V9" i="10"/>
  <c r="V10" i="10" s="1"/>
  <c r="V12" i="10" s="1"/>
  <c r="V6" i="10"/>
  <c r="V11" i="10" s="1"/>
  <c r="J15" i="10"/>
  <c r="J16" i="10" s="1"/>
  <c r="O97" i="10"/>
  <c r="O91" i="10"/>
  <c r="O94" i="10"/>
  <c r="O92" i="10"/>
  <c r="O95" i="10"/>
  <c r="O90" i="10"/>
  <c r="U6" i="8"/>
  <c r="U7" i="8" s="1"/>
  <c r="W24" i="18" s="1"/>
  <c r="W22" i="18" s="1"/>
  <c r="W12" i="19"/>
  <c r="X52" i="10"/>
  <c r="X54" i="10" s="1"/>
  <c r="X55" i="10"/>
  <c r="X22" i="7"/>
  <c r="X23" i="7" s="1"/>
  <c r="Y21" i="7"/>
  <c r="Y22" i="7" s="1"/>
  <c r="Y23" i="7" s="1"/>
  <c r="Y46" i="10"/>
  <c r="Y48" i="10" s="1"/>
  <c r="Y49" i="10"/>
  <c r="V7" i="8"/>
  <c r="X24" i="18" s="1"/>
  <c r="X22" i="18" s="1"/>
  <c r="W25" i="19" l="1"/>
  <c r="W27" i="19" s="1"/>
  <c r="W36" i="19" s="1"/>
  <c r="Y19" i="18"/>
  <c r="Y9" i="18" s="1"/>
  <c r="Y4" i="18" s="1"/>
  <c r="Y25" i="7"/>
  <c r="Y28" i="7" s="1"/>
  <c r="F27" i="21"/>
  <c r="F26" i="26"/>
  <c r="F25" i="23"/>
  <c r="G25" i="31"/>
  <c r="G6" i="34"/>
  <c r="G7" i="34" s="1"/>
  <c r="G32" i="32"/>
  <c r="G60" i="26"/>
  <c r="G15" i="32"/>
  <c r="G17" i="32" s="1"/>
  <c r="G49" i="32"/>
  <c r="G20" i="32"/>
  <c r="G22" i="32" s="1"/>
  <c r="G24" i="32" s="1"/>
  <c r="G68" i="21"/>
  <c r="G61" i="25"/>
  <c r="G59" i="23"/>
  <c r="W34" i="18"/>
  <c r="W35" i="18" s="1"/>
  <c r="X5" i="10"/>
  <c r="W9" i="10"/>
  <c r="W10" i="10" s="1"/>
  <c r="W12" i="10" s="1"/>
  <c r="W6" i="10"/>
  <c r="W11" i="10" s="1"/>
  <c r="W6" i="8"/>
  <c r="W7" i="8" s="1"/>
  <c r="Y24" i="18" s="1"/>
  <c r="Y22" i="18" s="1"/>
  <c r="Y12" i="19"/>
  <c r="X19" i="18"/>
  <c r="X9" i="18" s="1"/>
  <c r="X4" i="18" s="1"/>
  <c r="X25" i="7"/>
  <c r="X28" i="7" s="1"/>
  <c r="X29" i="7" s="1"/>
  <c r="G70" i="21"/>
  <c r="E38" i="32"/>
  <c r="E39" i="32" s="1"/>
  <c r="E62" i="28"/>
  <c r="V14" i="19"/>
  <c r="V15" i="19" s="1"/>
  <c r="V17" i="19" s="1"/>
  <c r="V38" i="19" s="1"/>
  <c r="U66" i="9"/>
  <c r="F16" i="21"/>
  <c r="U15" i="19"/>
  <c r="U17" i="19" s="1"/>
  <c r="U38" i="19" s="1"/>
  <c r="G31" i="27"/>
  <c r="G22" i="27"/>
  <c r="G24" i="27" s="1"/>
  <c r="G25" i="27" s="1"/>
  <c r="G27" i="27" s="1"/>
  <c r="G12" i="26"/>
  <c r="G11" i="27"/>
  <c r="G11" i="28"/>
  <c r="G12" i="28" s="1"/>
  <c r="G12" i="23"/>
  <c r="G15" i="28"/>
  <c r="G17" i="28" s="1"/>
  <c r="G40" i="28" s="1"/>
  <c r="G43" i="28" s="1"/>
  <c r="G44" i="28" s="1"/>
  <c r="G6" i="28"/>
  <c r="G7" i="28" s="1"/>
  <c r="Y29" i="7" l="1"/>
  <c r="Y25" i="19" s="1"/>
  <c r="X25" i="19"/>
  <c r="X27" i="19" s="1"/>
  <c r="X36" i="19" s="1"/>
  <c r="G67" i="26"/>
  <c r="G68" i="25"/>
  <c r="G66" i="23"/>
  <c r="X34" i="18"/>
  <c r="X35" i="18" s="1"/>
  <c r="Y5" i="10"/>
  <c r="W14" i="19"/>
  <c r="W15" i="19" s="1"/>
  <c r="W17" i="19" s="1"/>
  <c r="W38" i="19" s="1"/>
  <c r="V66" i="9"/>
  <c r="F50" i="32"/>
  <c r="F27" i="26"/>
  <c r="F41" i="21"/>
  <c r="F16" i="31"/>
  <c r="F17" i="31" s="1"/>
  <c r="F11" i="31"/>
  <c r="F5" i="31"/>
  <c r="F43" i="32"/>
  <c r="F44" i="32" s="1"/>
  <c r="F26" i="23"/>
  <c r="F77" i="23" s="1"/>
  <c r="Z5" i="10"/>
  <c r="Y34" i="18"/>
  <c r="F16" i="26"/>
  <c r="F16" i="27"/>
  <c r="F18" i="27" s="1"/>
  <c r="F17" i="21"/>
  <c r="F16" i="23"/>
  <c r="X9" i="10"/>
  <c r="X10" i="10" s="1"/>
  <c r="X12" i="10" s="1"/>
  <c r="X6" i="10"/>
  <c r="X11" i="10" s="1"/>
  <c r="G11" i="34"/>
  <c r="G65" i="26"/>
  <c r="G72" i="21"/>
  <c r="G66" i="25"/>
  <c r="G64" i="23"/>
  <c r="Y35" i="18" l="1"/>
  <c r="G27" i="32"/>
  <c r="G42" i="32"/>
  <c r="G73" i="21"/>
  <c r="G10" i="32"/>
  <c r="G12" i="32" s="1"/>
  <c r="G10" i="34"/>
  <c r="G37" i="32"/>
  <c r="G69" i="26"/>
  <c r="G70" i="25"/>
  <c r="G68" i="23"/>
  <c r="G74" i="23" s="1"/>
  <c r="Y14" i="19"/>
  <c r="X66" i="9"/>
  <c r="Y9" i="10"/>
  <c r="Y10" i="10" s="1"/>
  <c r="Y12" i="10" s="1"/>
  <c r="Y6" i="10"/>
  <c r="Y11" i="10" s="1"/>
  <c r="K15" i="10"/>
  <c r="K16" i="10" s="1"/>
  <c r="Y27" i="19"/>
  <c r="Y36" i="19" s="1"/>
  <c r="G26" i="21"/>
  <c r="F10" i="27"/>
  <c r="F13" i="27" s="1"/>
  <c r="F17" i="26"/>
  <c r="F5" i="27"/>
  <c r="F7" i="27" s="1"/>
  <c r="F30" i="27"/>
  <c r="F33" i="27" s="1"/>
  <c r="F36" i="27"/>
  <c r="F38" i="27" s="1"/>
  <c r="F59" i="28" s="1"/>
  <c r="F60" i="28" s="1"/>
  <c r="F19" i="21"/>
  <c r="F17" i="23"/>
  <c r="Z9" i="10"/>
  <c r="Z6" i="10"/>
  <c r="Z11" i="10" s="1"/>
  <c r="D25" i="10" s="1"/>
  <c r="AA5" i="10"/>
  <c r="F45" i="32"/>
  <c r="F34" i="25"/>
  <c r="F39" i="25"/>
  <c r="F31" i="25"/>
  <c r="F37" i="25"/>
  <c r="F24" i="25"/>
  <c r="F42" i="21"/>
  <c r="F35" i="25"/>
  <c r="F26" i="25"/>
  <c r="F38" i="25"/>
  <c r="F41" i="25"/>
  <c r="F36" i="25"/>
  <c r="F41" i="26"/>
  <c r="F27" i="25"/>
  <c r="F25" i="25"/>
  <c r="F30" i="25"/>
  <c r="F40" i="23"/>
  <c r="F51" i="32"/>
  <c r="F52" i="32" s="1"/>
  <c r="X14" i="19"/>
  <c r="X15" i="19" s="1"/>
  <c r="X17" i="19" s="1"/>
  <c r="X38" i="19" s="1"/>
  <c r="W66" i="9"/>
  <c r="G12" i="34"/>
  <c r="G15" i="34" s="1"/>
  <c r="G16" i="34" s="1"/>
  <c r="AB5" i="10" l="1"/>
  <c r="AA9" i="10"/>
  <c r="Z10" i="10"/>
  <c r="D24" i="10"/>
  <c r="F61" i="28"/>
  <c r="F13" i="25"/>
  <c r="F14" i="25"/>
  <c r="F16" i="25"/>
  <c r="F8" i="25"/>
  <c r="F19" i="25"/>
  <c r="F19" i="26"/>
  <c r="F20" i="21"/>
  <c r="F7" i="25"/>
  <c r="F17" i="25"/>
  <c r="F15" i="25"/>
  <c r="F6" i="31"/>
  <c r="F7" i="31" s="1"/>
  <c r="F44" i="21"/>
  <c r="F9" i="25"/>
  <c r="F21" i="31"/>
  <c r="F22" i="31" s="1"/>
  <c r="F12" i="25"/>
  <c r="F6" i="25"/>
  <c r="F10" i="31"/>
  <c r="F12" i="31" s="1"/>
  <c r="F53" i="28"/>
  <c r="F54" i="28" s="1"/>
  <c r="F28" i="32"/>
  <c r="F29" i="32" s="1"/>
  <c r="F19" i="23"/>
  <c r="F76" i="23" s="1"/>
  <c r="F33" i="32"/>
  <c r="F34" i="32" s="1"/>
  <c r="G26" i="26"/>
  <c r="G27" i="21"/>
  <c r="G25" i="23"/>
  <c r="G16" i="21"/>
  <c r="Y15" i="19"/>
  <c r="Y17" i="19" s="1"/>
  <c r="Y38" i="19" s="1"/>
  <c r="F38" i="32" l="1"/>
  <c r="F39" i="32" s="1"/>
  <c r="F62" i="28"/>
  <c r="G16" i="27"/>
  <c r="G18" i="27" s="1"/>
  <c r="G16" i="26"/>
  <c r="G17" i="21"/>
  <c r="G16" i="23"/>
  <c r="G5" i="31"/>
  <c r="G50" i="32"/>
  <c r="G51" i="32" s="1"/>
  <c r="G52" i="32" s="1"/>
  <c r="G27" i="26"/>
  <c r="G11" i="31"/>
  <c r="G16" i="31"/>
  <c r="G17" i="31" s="1"/>
  <c r="G41" i="21"/>
  <c r="G43" i="32"/>
  <c r="G44" i="32" s="1"/>
  <c r="G26" i="23"/>
  <c r="G77" i="23" s="1"/>
  <c r="Z12" i="10"/>
  <c r="D26" i="10" s="1"/>
  <c r="D23" i="10"/>
  <c r="D27" i="10" s="1"/>
  <c r="AB9" i="10"/>
  <c r="G45" i="32" l="1"/>
  <c r="G46" i="32"/>
  <c r="G30" i="27"/>
  <c r="G33" i="27" s="1"/>
  <c r="G36" i="27"/>
  <c r="G38" i="27" s="1"/>
  <c r="G59" i="28" s="1"/>
  <c r="G60" i="28" s="1"/>
  <c r="G61" i="28" s="1"/>
  <c r="G17" i="26"/>
  <c r="G5" i="27"/>
  <c r="G7" i="27" s="1"/>
  <c r="G10" i="27"/>
  <c r="G13" i="27" s="1"/>
  <c r="G19" i="21"/>
  <c r="G17" i="23"/>
  <c r="G25" i="25"/>
  <c r="G37" i="25"/>
  <c r="G26" i="25"/>
  <c r="G41" i="26"/>
  <c r="G42" i="21"/>
  <c r="G35" i="25"/>
  <c r="G34" i="25"/>
  <c r="G36" i="25"/>
  <c r="G31" i="25"/>
  <c r="G24" i="25"/>
  <c r="G41" i="25"/>
  <c r="G27" i="25"/>
  <c r="G30" i="25"/>
  <c r="G39" i="25"/>
  <c r="G38" i="25"/>
  <c r="G40" i="23"/>
  <c r="G20" i="21" l="1"/>
  <c r="G12" i="25"/>
  <c r="G19" i="26"/>
  <c r="G19" i="25"/>
  <c r="G14" i="25"/>
  <c r="G6" i="31"/>
  <c r="G7" i="31" s="1"/>
  <c r="G8" i="25"/>
  <c r="G7" i="25"/>
  <c r="G6" i="25"/>
  <c r="G16" i="25"/>
  <c r="G17" i="25"/>
  <c r="G9" i="25"/>
  <c r="G21" i="31"/>
  <c r="G22" i="31" s="1"/>
  <c r="G15" i="25"/>
  <c r="G13" i="25"/>
  <c r="G10" i="31"/>
  <c r="G12" i="31" s="1"/>
  <c r="G44" i="21"/>
  <c r="G53" i="28"/>
  <c r="G54" i="28" s="1"/>
  <c r="G33" i="32"/>
  <c r="G34" i="32" s="1"/>
  <c r="G19" i="23"/>
  <c r="G76" i="23" s="1"/>
  <c r="G28" i="32"/>
  <c r="G29" i="32" s="1"/>
  <c r="G38" i="32"/>
  <c r="G39" i="32" s="1"/>
  <c r="G62" i="28"/>
</calcChain>
</file>

<file path=xl/sharedStrings.xml><?xml version="1.0" encoding="utf-8"?>
<sst xmlns="http://schemas.openxmlformats.org/spreadsheetml/2006/main" count="2184" uniqueCount="574">
  <si>
    <t>Изменение конъюктуры рынка</t>
  </si>
  <si>
    <t>Проблемы с патентом</t>
  </si>
  <si>
    <t>Рост ставки процента</t>
  </si>
  <si>
    <t>Обрушение крыши цеха</t>
  </si>
  <si>
    <t>Ущерб оценивается в объеме месячных продаж, т.е. 15 млн.рублей</t>
  </si>
  <si>
    <t>Ущерб оценивается в объеме месячных продаж и покупки нового станка, т.е. 16,5 млн.рублей</t>
  </si>
  <si>
    <t>Штраф за нарушение экологии</t>
  </si>
  <si>
    <t>Необходимость смены кадров - затраты на поиск новых работников + временная неэффективность работы</t>
  </si>
  <si>
    <t>Зависит от конректной ошибки</t>
  </si>
  <si>
    <t>Необходимость переоформления патента - 10 тыс. рублей</t>
  </si>
  <si>
    <t>Ущерб оценен ниже в количественной оценке риска</t>
  </si>
  <si>
    <t>Запрет использования используемого гормона в России</t>
  </si>
  <si>
    <t>Остановка производства</t>
  </si>
  <si>
    <t>Необходимость новой аренды - 150 тыс.рублей + затраты на поиск нового помещения</t>
  </si>
  <si>
    <t>Неэффективность рекламной компании; неверное определение ценовых сегментов и ценообразования</t>
  </si>
  <si>
    <t>Грамотный подбор персонала; четкий регламент и разграничение функций каждого работника; меры по улучшению рабочего климата, мотивация</t>
  </si>
  <si>
    <t>Перевод производства в другую страну</t>
  </si>
  <si>
    <t>Формирование инвестиционных и капитальных вложений, гарантирующих создание стабильной ситуации; использование финансовых инструментов для создания имунного пакета</t>
  </si>
  <si>
    <t>Регулярный контроль, ремонт по необходимости</t>
  </si>
  <si>
    <t>Отчет о прибылях и убытках (тыс. руб.)</t>
  </si>
  <si>
    <t>Валовая прибыль</t>
  </si>
  <si>
    <t>- коммерческие расходы</t>
  </si>
  <si>
    <t>- административные расходы</t>
  </si>
  <si>
    <t>Прибыль (убыток) от продаж</t>
  </si>
  <si>
    <t>- налоги, относимые на финансовые результаты</t>
  </si>
  <si>
    <t>- проценты к уплате</t>
  </si>
  <si>
    <t>Средняя стоимость имущества за период</t>
  </si>
  <si>
    <t>Месячный оклад 1 сотрудника</t>
  </si>
  <si>
    <t>Прибыль до налогообложения</t>
  </si>
  <si>
    <t>- налог на прибыль</t>
  </si>
  <si>
    <t>Чистая прибыль (убыток)</t>
  </si>
  <si>
    <t>- дивиденды</t>
  </si>
  <si>
    <t>Электричество (с НДС)</t>
  </si>
  <si>
    <t>Аренда (с НДС)</t>
  </si>
  <si>
    <t>Упаковка</t>
  </si>
  <si>
    <t>Гель  для восстановления зубов</t>
  </si>
  <si>
    <r>
      <t>Всего прямые мат. расходы на г</t>
    </r>
    <r>
      <rPr>
        <b/>
        <i/>
        <sz val="10"/>
        <color indexed="17"/>
        <rFont val="Arial Narrow"/>
        <family val="2"/>
      </rPr>
      <t>ель  для восстановления зубов</t>
    </r>
  </si>
  <si>
    <r>
      <t>Всего прямые мат. расходы на з</t>
    </r>
    <r>
      <rPr>
        <b/>
        <i/>
        <sz val="10"/>
        <color indexed="17"/>
        <rFont val="Arial Narrow"/>
        <family val="2"/>
      </rPr>
      <t>убную пасту, восстанавливающую зубы</t>
    </r>
  </si>
  <si>
    <t>Всего авансов поставщикам по зубной пасте, восстанавливающей зубы</t>
  </si>
  <si>
    <t>Всего КЗ перед поставщиками по зубной пасте, восстанавливающей зубы</t>
  </si>
  <si>
    <t>Всего авансов поставщикам по гелю  для восстановления зубов</t>
  </si>
  <si>
    <t>Всего КЗ перед поставщиками по гелю  для восстановления зубов</t>
  </si>
  <si>
    <t>Себестоимость единицы гелю  для восстановления зубов</t>
  </si>
  <si>
    <t>Себестоимость единицы зубной пасте, восстанавливающей зубы</t>
  </si>
  <si>
    <t>Активное вещество (alfa-MSH) (с НДС)</t>
  </si>
  <si>
    <t>Основа геля (с НДС)</t>
  </si>
  <si>
    <t>Упаковка (с НДС)</t>
  </si>
  <si>
    <t>Активное вещество (alfa-MSH)  (с НДС)</t>
  </si>
  <si>
    <t>Основа пасты с антикариозным эффектом (с НДС)</t>
  </si>
  <si>
    <t>Продвижение товара на рынок (реклама, СМИ и т.д.) (с НДС)</t>
  </si>
  <si>
    <t>Линия для производства геля и пасты</t>
  </si>
  <si>
    <t>Станок упаковочный</t>
  </si>
  <si>
    <t>Грузовик</t>
  </si>
  <si>
    <t>Патент на гель</t>
  </si>
  <si>
    <t>Патент на пасту</t>
  </si>
  <si>
    <t>Сбой в работе оборудования</t>
  </si>
  <si>
    <t>Инструктаж по работе для персонала, регулярные проверки и ремонт</t>
  </si>
  <si>
    <t>Срыв поставок компонентов</t>
  </si>
  <si>
    <t>Долгосрочные договоры, формирование достаточных запасов необходимых материалов</t>
  </si>
  <si>
    <t>Утечка компонентов</t>
  </si>
  <si>
    <t>Соблюдение техники безопасности</t>
  </si>
  <si>
    <t>Конфликты в коллективе</t>
  </si>
  <si>
    <t>Ошибки руководства</t>
  </si>
  <si>
    <t>Подбор квалицифированного персонала, разработка долгосрочной и краткосрочной стратегии развития</t>
  </si>
  <si>
    <t>Предварительная проработка патентных вопросов и осуществление всех необходимых мер для предотвращения проблем</t>
  </si>
  <si>
    <t>Водитель</t>
  </si>
  <si>
    <t>Стоимость главного компонента лекарства</t>
  </si>
  <si>
    <t>Ставка процента</t>
  </si>
  <si>
    <t>Средняя цена геля</t>
  </si>
  <si>
    <t>Средняя цена пасты</t>
  </si>
  <si>
    <t>Учредительный капитал (изменение)</t>
  </si>
  <si>
    <t>Акционерный капитал (изменение)</t>
  </si>
  <si>
    <t>Целевое финансирование (изменение)</t>
  </si>
  <si>
    <t xml:space="preserve"> </t>
  </si>
  <si>
    <t>Уставный капитал, в том числе</t>
  </si>
  <si>
    <t>- учредительный капитал</t>
  </si>
  <si>
    <t>Нераспределенная прибыль (+) / убыток (-)</t>
  </si>
  <si>
    <t>- акционерный капитал</t>
  </si>
  <si>
    <t>Поступления учредительного капитала</t>
  </si>
  <si>
    <t xml:space="preserve"> - текущие обязательства</t>
  </si>
  <si>
    <t>Сальдо баланса</t>
  </si>
  <si>
    <t>Основные показатели эффективности</t>
  </si>
  <si>
    <t>Анализ точки безубыточности</t>
  </si>
  <si>
    <t>Переменные затраты на единицу</t>
  </si>
  <si>
    <t>Постоянные затраты</t>
  </si>
  <si>
    <t>Цена</t>
  </si>
  <si>
    <t>Точка безубыточности</t>
  </si>
  <si>
    <t>1 кв.</t>
  </si>
  <si>
    <t>2 кв.</t>
  </si>
  <si>
    <t>3 кв.</t>
  </si>
  <si>
    <t>4 кв.</t>
  </si>
  <si>
    <t>5 кв.</t>
  </si>
  <si>
    <t>6 кв.</t>
  </si>
  <si>
    <t>7 кв.</t>
  </si>
  <si>
    <t>8 кв.</t>
  </si>
  <si>
    <t>9 кв.</t>
  </si>
  <si>
    <t>10 кв.</t>
  </si>
  <si>
    <t>11 кв.</t>
  </si>
  <si>
    <t>12 кв.</t>
  </si>
  <si>
    <t>13 кв.</t>
  </si>
  <si>
    <t>14 кв.</t>
  </si>
  <si>
    <t>15 кв.</t>
  </si>
  <si>
    <t>16 кв.</t>
  </si>
  <si>
    <t>17 кв.</t>
  </si>
  <si>
    <t>18 кв.</t>
  </si>
  <si>
    <t>19 кв.</t>
  </si>
  <si>
    <t>20 кв.</t>
  </si>
  <si>
    <t>Итого</t>
  </si>
  <si>
    <t>Ед.</t>
  </si>
  <si>
    <t>Объем продаж</t>
  </si>
  <si>
    <t>Объем производства</t>
  </si>
  <si>
    <t>Продукт 1</t>
  </si>
  <si>
    <t>Продукт 2</t>
  </si>
  <si>
    <t>Всего</t>
  </si>
  <si>
    <t>шт.</t>
  </si>
  <si>
    <t>Цена продаж (с НДС)</t>
  </si>
  <si>
    <t>руб.</t>
  </si>
  <si>
    <t>тыс. руб.</t>
  </si>
  <si>
    <t>Предполагаемый годовой темп инфляции</t>
  </si>
  <si>
    <t>То же в пересчете на квартал</t>
  </si>
  <si>
    <t>Инфляция нарастающим итогом</t>
  </si>
  <si>
    <t>Квартальный индекс инфляции</t>
  </si>
  <si>
    <t>Макроэкономическое окружение</t>
  </si>
  <si>
    <t>%</t>
  </si>
  <si>
    <t xml:space="preserve">ИНФЛЯЦИЯ  </t>
  </si>
  <si>
    <t>НАЛОГОВОЕ ОКРУЖЕНИЕ</t>
  </si>
  <si>
    <t>НДС</t>
  </si>
  <si>
    <t>Налог на имущество</t>
  </si>
  <si>
    <t>Налог на прибыль</t>
  </si>
  <si>
    <t>Основной производственный персонал</t>
  </si>
  <si>
    <t>Количество сотрудников</t>
  </si>
  <si>
    <t>Всего сотрудников</t>
  </si>
  <si>
    <t>Вспомогательный производственный персонал</t>
  </si>
  <si>
    <t>Административный персонал</t>
  </si>
  <si>
    <t>Коммерческий персонал</t>
  </si>
  <si>
    <t>чел.</t>
  </si>
  <si>
    <t>Расходы на заработную плату (квартал)</t>
  </si>
  <si>
    <t>Текущие затраты</t>
  </si>
  <si>
    <t>Выручка от продаж (с НДС)</t>
  </si>
  <si>
    <t>в том числе НДС</t>
  </si>
  <si>
    <t>Прямые материальные расходы</t>
  </si>
  <si>
    <t>ед.</t>
  </si>
  <si>
    <t>Мат. расходы на ед. продукции</t>
  </si>
  <si>
    <t>Цена единицы (с НДС)</t>
  </si>
  <si>
    <t>Всего прямые материальные расходы</t>
  </si>
  <si>
    <t>Коммерческие расходы</t>
  </si>
  <si>
    <t>Всего административные расходы</t>
  </si>
  <si>
    <t>Всего коммерческие расходы</t>
  </si>
  <si>
    <t>Планируемые к приобретению ОС</t>
  </si>
  <si>
    <t>Значение</t>
  </si>
  <si>
    <t>Стоимость ОС (с НДС)</t>
  </si>
  <si>
    <t>График оплаты ОС</t>
  </si>
  <si>
    <t>Амортизация (линейный метод)</t>
  </si>
  <si>
    <t xml:space="preserve">Вложения в ОС </t>
  </si>
  <si>
    <t>Амортизация</t>
  </si>
  <si>
    <t>Остаточная стоимость</t>
  </si>
  <si>
    <t>Накопленная амортизация</t>
  </si>
  <si>
    <t>Выручка</t>
  </si>
  <si>
    <t>- себестоимость проданной продукции</t>
  </si>
  <si>
    <t>материалы</t>
  </si>
  <si>
    <t>оплата труда</t>
  </si>
  <si>
    <t>налоги, относимые на текущие результаты</t>
  </si>
  <si>
    <t>амортизация</t>
  </si>
  <si>
    <t>Административные расходы 1 (с НДС)</t>
  </si>
  <si>
    <t>Административные расходы 2 (с НДС)</t>
  </si>
  <si>
    <t>Коммерческие расходы в квартал</t>
  </si>
  <si>
    <t>Коммерческие расходы 2 (с НДС)</t>
  </si>
  <si>
    <t>Коммерческие расходы 3 (с НДС)</t>
  </si>
  <si>
    <t>Себестоимость единицы продукта</t>
  </si>
  <si>
    <t>Материальные расходы (без НДС)</t>
  </si>
  <si>
    <t>Общепроизводственные расходы (без НДС)</t>
  </si>
  <si>
    <t>Административные расходы (без НДС)</t>
  </si>
  <si>
    <t>Коммерческие расходы (без НДС)</t>
  </si>
  <si>
    <t>Себестоимость единицы Продукта 1</t>
  </si>
  <si>
    <t>Себестоимость единицы Продукта 2</t>
  </si>
  <si>
    <t>Расходы на заработную плату и ЕСН</t>
  </si>
  <si>
    <t>= нераспределенная прибыль</t>
  </si>
  <si>
    <t>= то же нарастающим итогом</t>
  </si>
  <si>
    <t>Отчет о движении денежных средств (тыс. руб.)</t>
  </si>
  <si>
    <t>Денежные потоки от операционной деятельности</t>
  </si>
  <si>
    <t>Поступления от продаж</t>
  </si>
  <si>
    <t>Затраты на материалы</t>
  </si>
  <si>
    <t>Затраты на оплату труда</t>
  </si>
  <si>
    <t>Общие затраты</t>
  </si>
  <si>
    <t>Налоги</t>
  </si>
  <si>
    <t>Выплата процентов по кредитам</t>
  </si>
  <si>
    <t>Денежные потоки от инвестиционной деятельности</t>
  </si>
  <si>
    <t>Инвестиции в основные средства</t>
  </si>
  <si>
    <t>Инвестиции в оборотный капитал</t>
  </si>
  <si>
    <t>Денежные потоки от финансовой деятельности</t>
  </si>
  <si>
    <t>Поступления акционерного капитала</t>
  </si>
  <si>
    <t>Целевое финансирование</t>
  </si>
  <si>
    <t>Поступление кредитов</t>
  </si>
  <si>
    <t>Возврат кредитов</t>
  </si>
  <si>
    <t>Суммарный денежный поток за период</t>
  </si>
  <si>
    <t>Денежные средства на конец периода</t>
  </si>
  <si>
    <t>Оборотный капитал</t>
  </si>
  <si>
    <t>НДС полученный</t>
  </si>
  <si>
    <t>НДС уплаченный</t>
  </si>
  <si>
    <t>Источники финансирования</t>
  </si>
  <si>
    <t>Собственный капитал</t>
  </si>
  <si>
    <t>Годовая процентная ставка</t>
  </si>
  <si>
    <t>Поступления от кредита</t>
  </si>
  <si>
    <t>Справочно: свободные денежные средства</t>
  </si>
  <si>
    <t>Анализ проекта</t>
  </si>
  <si>
    <t>Денежный поток</t>
  </si>
  <si>
    <t>Дисконтированный денежный поток</t>
  </si>
  <si>
    <t>Дисконтированный денежный поток нарастающим итогом</t>
  </si>
  <si>
    <t>NPV</t>
  </si>
  <si>
    <t>IRR</t>
  </si>
  <si>
    <t>PP</t>
  </si>
  <si>
    <t>DPP</t>
  </si>
  <si>
    <t>лет</t>
  </si>
  <si>
    <t>Денежный поток нарастающим итогом</t>
  </si>
  <si>
    <t>1. АКТИВЫ</t>
  </si>
  <si>
    <t>Постоянные активы</t>
  </si>
  <si>
    <t xml:space="preserve"> - балансовая стоимость</t>
  </si>
  <si>
    <t xml:space="preserve"> - начисленный износ</t>
  </si>
  <si>
    <t xml:space="preserve"> - остаточная стоимость</t>
  </si>
  <si>
    <t>Незавершенные капитальные вложения</t>
  </si>
  <si>
    <t>Оборотные активы</t>
  </si>
  <si>
    <t xml:space="preserve"> - свободные денежные средства</t>
  </si>
  <si>
    <t>2. ПАССИВЫ</t>
  </si>
  <si>
    <t>Источники собственных средств</t>
  </si>
  <si>
    <t>Долгосрочные пассивы (кредиты)</t>
  </si>
  <si>
    <t>Краткосрочные пассивы</t>
  </si>
  <si>
    <t xml:space="preserve"> = Итого краткосрочные пассивы</t>
  </si>
  <si>
    <t xml:space="preserve"> = Итого пассивы</t>
  </si>
  <si>
    <t xml:space="preserve"> - текущие активы</t>
  </si>
  <si>
    <t>Уставной капитал</t>
  </si>
  <si>
    <t>Незавершенные кап. вложения</t>
  </si>
  <si>
    <t>Задолженность по краткосрочному кредиту (займу) 2</t>
  </si>
  <si>
    <t>Краткосрочный кредит (займ) 2</t>
  </si>
  <si>
    <t>Краткосрочный кредит (займ) 1</t>
  </si>
  <si>
    <t>Долгосрочный кредит (займ) 1</t>
  </si>
  <si>
    <t>Долгосрочный кредит (займ) 2</t>
  </si>
  <si>
    <t>Задолженность по долгосрочному кредиту (займу) 1</t>
  </si>
  <si>
    <t>Задолженность по долгосрочному кредиту (займу) 2</t>
  </si>
  <si>
    <t>Задолженность по долгосрочным кредитам и займам</t>
  </si>
  <si>
    <t>Итого Собственный капитал</t>
  </si>
  <si>
    <t>Расчет WACC</t>
  </si>
  <si>
    <t>Кредиторская задолженность перед поставщиками (в квартал)</t>
  </si>
  <si>
    <t>Всего КЗ перед поставщиками</t>
  </si>
  <si>
    <t>Наименование ОС 4</t>
  </si>
  <si>
    <t>Первоначальная стоимость</t>
  </si>
  <si>
    <t>Балансовая (остаточная) стоимость</t>
  </si>
  <si>
    <t>Сумма накопленных вложений в ОС</t>
  </si>
  <si>
    <t>Минимальная цена</t>
  </si>
  <si>
    <t>Абсолютное отклонение</t>
  </si>
  <si>
    <t>Запас прочности</t>
  </si>
  <si>
    <t>Исходные данные</t>
  </si>
  <si>
    <t>тыс.руб.</t>
  </si>
  <si>
    <t>Текущие активы</t>
  </si>
  <si>
    <t>Запас готовой продукции</t>
  </si>
  <si>
    <t>Текущие пассивы</t>
  </si>
  <si>
    <t>Всего текущие пассивы</t>
  </si>
  <si>
    <t xml:space="preserve">Текущие обязательства </t>
  </si>
  <si>
    <t>Оплата труда</t>
  </si>
  <si>
    <t>Собственные средства</t>
  </si>
  <si>
    <t>Заемные средства</t>
  </si>
  <si>
    <t>Доля заемных средств</t>
  </si>
  <si>
    <t>Стоимость заемных средств</t>
  </si>
  <si>
    <t>Стоимость собственных средств</t>
  </si>
  <si>
    <t>WACC</t>
  </si>
  <si>
    <t>Доля собственных средств</t>
  </si>
  <si>
    <t>Чистая прибыль</t>
  </si>
  <si>
    <t>EBITDA</t>
  </si>
  <si>
    <t xml:space="preserve"> = Итого активы</t>
  </si>
  <si>
    <t>Коэффициент абсолютной ликвидности</t>
  </si>
  <si>
    <t>Коэффициент дисконтирования</t>
  </si>
  <si>
    <t>Функция дисконтирования</t>
  </si>
  <si>
    <t>Требуемая норма доходности венчурного капиталиста</t>
  </si>
  <si>
    <t>Стадия жизненного цикла</t>
  </si>
  <si>
    <t>Типичная требуемая норма доходности</t>
  </si>
  <si>
    <t>Старт-ап</t>
  </si>
  <si>
    <t>Первый раунд финансирования</t>
  </si>
  <si>
    <t>Второй раунд финансирования</t>
  </si>
  <si>
    <t>50-70%</t>
  </si>
  <si>
    <t>40-60%</t>
  </si>
  <si>
    <t>35-50%</t>
  </si>
  <si>
    <t>25-35%</t>
  </si>
  <si>
    <t>ТРЕБУЕМАЯ ИНВЕСТОРОМ НОРМА ДОХОДНОСТИ</t>
  </si>
  <si>
    <t>Требуемая норма доходности</t>
  </si>
  <si>
    <t>Цена продаж (без НДС)</t>
  </si>
  <si>
    <t>Источник: Damodaran A. Valuing Young, Start-Up and Growth Companies: Estimation Issues and Valuation Challenges, 2009. P. 15.</t>
  </si>
  <si>
    <t>Выручка от продаж (без НДС)</t>
  </si>
  <si>
    <t>Всего расходы на заработную плату в квартал</t>
  </si>
  <si>
    <t>Запасы готовой продукции</t>
  </si>
  <si>
    <t>Материальные расходы 4</t>
  </si>
  <si>
    <t>Объем продаж в квартал</t>
  </si>
  <si>
    <t>Коэффициент продаж в квартал</t>
  </si>
  <si>
    <t>Всего общие производственные расходы в квартал</t>
  </si>
  <si>
    <t>Общепроизводственные расходы 3 (с НДС)</t>
  </si>
  <si>
    <t>Общепроизводственные расходы 4 (с НДС)</t>
  </si>
  <si>
    <t>Административные  расходы в квартал</t>
  </si>
  <si>
    <t>% от материальных расходов 1 (с НДС)</t>
  </si>
  <si>
    <t>% от материальных расходов 2 (с НДС)</t>
  </si>
  <si>
    <t>% от материальных расходов 3 (с НДС)</t>
  </si>
  <si>
    <t>% от материальных расходов 4 (с НДС)</t>
  </si>
  <si>
    <t>% от общепроизводственных расходов (с НДС)</t>
  </si>
  <si>
    <t>% от административных расходов (с НДС)</t>
  </si>
  <si>
    <t>% от коммерческих расходов (с НДС)</t>
  </si>
  <si>
    <t>Всего текущие активы (без денежных средств)</t>
  </si>
  <si>
    <t>Текущие активы (без денежных средств)</t>
  </si>
  <si>
    <t>НДС полученный - НДС уплаченный</t>
  </si>
  <si>
    <t xml:space="preserve">Сумма НДС полученный - НДС уплаченный </t>
  </si>
  <si>
    <t>вспомогательный строкк</t>
  </si>
  <si>
    <t>НДС к уплате в бюджет (+) / возврату (-)</t>
  </si>
  <si>
    <t xml:space="preserve"> - НДС как актив</t>
  </si>
  <si>
    <t xml:space="preserve"> = Итого собственные средства</t>
  </si>
  <si>
    <t>Сумма тела кредита - вспомогательная строка</t>
  </si>
  <si>
    <t>Выплата дивидендов</t>
  </si>
  <si>
    <t>-</t>
  </si>
  <si>
    <t>Денежные средства и их эквиваленты</t>
  </si>
  <si>
    <t>НДС к получению</t>
  </si>
  <si>
    <t>Основные средства</t>
  </si>
  <si>
    <t>Нематериальные активы</t>
  </si>
  <si>
    <t>Кредиторская задолженность</t>
  </si>
  <si>
    <t>Уставный капитал</t>
  </si>
  <si>
    <t>Год начала деятельности</t>
  </si>
  <si>
    <t>Планируемые к приобретению НА</t>
  </si>
  <si>
    <t>Нематериальные активы и Основные средства</t>
  </si>
  <si>
    <t>Стоимость НА (с НДС)</t>
  </si>
  <si>
    <t>Всего авансов поставщикам</t>
  </si>
  <si>
    <t>Аванс по материальным расходам 1</t>
  </si>
  <si>
    <t>Аванс по материальным расходам 2</t>
  </si>
  <si>
    <t>Аванс по материальным расходам 3</t>
  </si>
  <si>
    <t>Аванс по материальным расходам 4</t>
  </si>
  <si>
    <t>Материальные расходы 4 (с НДС)</t>
  </si>
  <si>
    <t>Авансы поставщикам</t>
  </si>
  <si>
    <t>Дебиторская задолженность</t>
  </si>
  <si>
    <t>Дебиторская задолженность в квартал</t>
  </si>
  <si>
    <t>Авансы покупателей</t>
  </si>
  <si>
    <t>Краткосрочные кредиты и займы</t>
  </si>
  <si>
    <t>Задолженность перед персоналом</t>
  </si>
  <si>
    <t>Кредиторская задолженность перед поставщиками</t>
  </si>
  <si>
    <t>Чистый оборотный капитал</t>
  </si>
  <si>
    <t>Изменения чистого оборотного капитала</t>
  </si>
  <si>
    <t>Долгосрочные кредиты и займы</t>
  </si>
  <si>
    <t>Коэффициент задолженности</t>
  </si>
  <si>
    <t>Сумма задолженности на конец периода</t>
  </si>
  <si>
    <t>Всего Задолженность перед персоналом</t>
  </si>
  <si>
    <t>Задолженность перед персоналом в квартал</t>
  </si>
  <si>
    <t>Задолженность по НДС к уплате</t>
  </si>
  <si>
    <t>Возврат тела кредита</t>
  </si>
  <si>
    <t>Сумма тела кредита на конец периода</t>
  </si>
  <si>
    <t>Квартальная процентная ставка</t>
  </si>
  <si>
    <t>Начисленные проценты к уплате</t>
  </si>
  <si>
    <t>Выплаченные проценты по кредиту</t>
  </si>
  <si>
    <t>Задолженность по выплате процентов на конец периода</t>
  </si>
  <si>
    <t>Задолженность по краткосрочным кредитам и займам</t>
  </si>
  <si>
    <t>Задолженность по краткосрочному кредиту (займу) 1</t>
  </si>
  <si>
    <t>Коэффициент периода обеспеченности ликвидными активами</t>
  </si>
  <si>
    <t>Товарные запасы</t>
  </si>
  <si>
    <t>Коэффициент общей ликвидности</t>
  </si>
  <si>
    <t>Коэффициент срочной ликвидности</t>
  </si>
  <si>
    <t>Денежные средства</t>
  </si>
  <si>
    <t>Потребность в оборотном капитале</t>
  </si>
  <si>
    <t>Средняя потребность в оборотном капитале</t>
  </si>
  <si>
    <t>Коэффициент обесепеченности продаж оборотным капиталом</t>
  </si>
  <si>
    <t>Среднедневные операционные расходы</t>
  </si>
  <si>
    <t>Коэффициент обеспеченности ликвидными активами</t>
  </si>
  <si>
    <t>дни</t>
  </si>
  <si>
    <t>Оборачиваемость товарно-материальных запасов (1)</t>
  </si>
  <si>
    <t>Оборачиваемость товарно-материальных запасов</t>
  </si>
  <si>
    <t>Оборачиваемость товарно-материальных запасов (2)</t>
  </si>
  <si>
    <t>Средний период оборачиваемости запасов в днях</t>
  </si>
  <si>
    <t>Оборачиваемость дебиторской задолженности</t>
  </si>
  <si>
    <t>Коэффициент оборачиваемости дебиторской задолженности в днях</t>
  </si>
  <si>
    <t>Оборачиваемость кредиторской задолженности</t>
  </si>
  <si>
    <t>Оборачиваемость кредиторской задолженности в днях</t>
  </si>
  <si>
    <t>Операционный и финансовый циклы предприятия</t>
  </si>
  <si>
    <t>Коэффициент оборачиваемости долгосрочных активов</t>
  </si>
  <si>
    <t>Средние запасы</t>
  </si>
  <si>
    <t>Себестоимость продукции</t>
  </si>
  <si>
    <t>Амортизация для расчетов</t>
  </si>
  <si>
    <t>Персонал: численность и з/п</t>
  </si>
  <si>
    <t>Должность 3</t>
  </si>
  <si>
    <t>Должность 4</t>
  </si>
  <si>
    <t>Контроль</t>
  </si>
  <si>
    <t>Сумма налога на имущество организаций</t>
  </si>
  <si>
    <t>Общепроизводственные расходы</t>
  </si>
  <si>
    <t>Аванс по общепроизводственным расходам</t>
  </si>
  <si>
    <t>Административные расходы</t>
  </si>
  <si>
    <t>Аванс по административным расходам</t>
  </si>
  <si>
    <t>Авансы и предоплаты поставщикам (в квартал)</t>
  </si>
  <si>
    <t>Аванс по коммерческим расходам</t>
  </si>
  <si>
    <t>Кред. задолженность по материальным расходам 1</t>
  </si>
  <si>
    <t>Кред. задолженность по материальным расходам 2</t>
  </si>
  <si>
    <t>Кред. задолженность по материальным расходам 3</t>
  </si>
  <si>
    <t>Кред. задолженность по материальным расходам 4</t>
  </si>
  <si>
    <t>Кред. задолженность по общепроизводственным расходам</t>
  </si>
  <si>
    <t>Кред. задолженность по административным расходам</t>
  </si>
  <si>
    <t>Кред. задолженность по коммерческим расходам</t>
  </si>
  <si>
    <t xml:space="preserve"> - краткосрочные кредиты и займы</t>
  </si>
  <si>
    <t>общепроизводственные расходы</t>
  </si>
  <si>
    <t>Объем производства в квартал</t>
  </si>
  <si>
    <t>Среднее значение себестоимости по годам</t>
  </si>
  <si>
    <t>Материальные расходы</t>
  </si>
  <si>
    <t>Мезонинное финансирование / IPO</t>
  </si>
  <si>
    <t>Сумма начисленных, но не выплаченных процентов</t>
  </si>
  <si>
    <t>Средневзевешенная цена</t>
  </si>
  <si>
    <t>Базовое значение NPV</t>
  </si>
  <si>
    <t>Факторы риска</t>
  </si>
  <si>
    <t>% изменение фактора риска</t>
  </si>
  <si>
    <t>% изменение NPV</t>
  </si>
  <si>
    <t>Рейтинг</t>
  </si>
  <si>
    <t>5=4/2</t>
  </si>
  <si>
    <t>Эластичность</t>
  </si>
  <si>
    <t>Технико-технологический риск</t>
  </si>
  <si>
    <t>Экологический риск</t>
  </si>
  <si>
    <t>Социальный риск</t>
  </si>
  <si>
    <t>Нормативно-правовой (юридический) риск</t>
  </si>
  <si>
    <t>Специфический риск</t>
  </si>
  <si>
    <t>Горизонтальный анализ Отчета о прибылях и убытках</t>
  </si>
  <si>
    <t>Коэффициент общей платёжеспособности (коэффициент автономии)</t>
  </si>
  <si>
    <t>Мультипликатор собственного капитала</t>
  </si>
  <si>
    <t>Коэффициент соотношения заёмных и собственных средств</t>
  </si>
  <si>
    <t>Коэффициент отношения обязательств к совокупным активам</t>
  </si>
  <si>
    <t>Коэффициент покрытия процентных выплат</t>
  </si>
  <si>
    <t>Коэффициент долговой нагрузки (IB)</t>
  </si>
  <si>
    <t>Уровень налоговой нагрузки (TB)</t>
  </si>
  <si>
    <t>Уровень налоговой нагрузки</t>
  </si>
  <si>
    <t>Эффективная ставка налогообложения (T)</t>
  </si>
  <si>
    <t>Задолженность по выплате процентов</t>
  </si>
  <si>
    <t>Коэффициент оборачиваемости активов</t>
  </si>
  <si>
    <t>Анализ показателей платёжеспособности и финансовой устойчивости</t>
  </si>
  <si>
    <t>Активы</t>
  </si>
  <si>
    <t>Обязательства</t>
  </si>
  <si>
    <t>Операционная прибыль</t>
  </si>
  <si>
    <t>Процентные выплаты</t>
  </si>
  <si>
    <t>График оплаты НА</t>
  </si>
  <si>
    <t xml:space="preserve">Вложения в НА </t>
  </si>
  <si>
    <t>Сумма накопленных вложений в НА</t>
  </si>
  <si>
    <t>Вложения в НА</t>
  </si>
  <si>
    <t>Внеоборотные активы</t>
  </si>
  <si>
    <t>Итого Внеоборотные активы</t>
  </si>
  <si>
    <t>Запасы</t>
  </si>
  <si>
    <t>Итого Оборотные активы</t>
  </si>
  <si>
    <t xml:space="preserve"> = Итого Оборотные активы</t>
  </si>
  <si>
    <t>Долгосрочные обязательства</t>
  </si>
  <si>
    <t>Итого Долгосрочные обязательства</t>
  </si>
  <si>
    <t>Краткосрочные обязательства</t>
  </si>
  <si>
    <t>Итого АКТИВЫ</t>
  </si>
  <si>
    <t>Итого ПАССИВЫ</t>
  </si>
  <si>
    <t>Анализ себстоимости единицы продукции</t>
  </si>
  <si>
    <t>Себестоимость</t>
  </si>
  <si>
    <t>Материалы</t>
  </si>
  <si>
    <t>Налоги, относимые на текущие результаты</t>
  </si>
  <si>
    <t>Налоги, относимые на финансовые результаты</t>
  </si>
  <si>
    <t>Проценты к уплате</t>
  </si>
  <si>
    <t>Общий анализ Отчета о прибылях и убытках</t>
  </si>
  <si>
    <t>Отчет о финансовом состоянии компании (тыс. руб.)</t>
  </si>
  <si>
    <t>Общий анализ Отчета о финансовом состоянии</t>
  </si>
  <si>
    <t>Горизонтальный анализ Отчета о финансовом состоянии</t>
  </si>
  <si>
    <t>Прогнозный Отчет о финансовом состоянии</t>
  </si>
  <si>
    <t>Прогнозный Отчет о прибылях и убытках</t>
  </si>
  <si>
    <t>Вертикальный анализ Отчета о финансовом состоянии</t>
  </si>
  <si>
    <t>Вертикальный анализ Отчета о прибылях и убытках</t>
  </si>
  <si>
    <t>Коэффициент общей ликвидности (коэффициент покрытия)</t>
  </si>
  <si>
    <t>Коэффициент обеспеченности продаж оборотным капиталом</t>
  </si>
  <si>
    <t>Страховые взносы по основному производственному персоналу</t>
  </si>
  <si>
    <t>Страховые взносы по вспомогательному производственному персоналу</t>
  </si>
  <si>
    <t>Страховые взносы по административному персоналу</t>
  </si>
  <si>
    <t>Страховые взносы по коммерческому персоналу</t>
  </si>
  <si>
    <t>Всего отчисления в госуд. внебюджетные фонды (в квартал)</t>
  </si>
  <si>
    <t>Страховые взносы в государственные внебюджетные фонды</t>
  </si>
  <si>
    <t>Всего расходы на заработную плату и страховые взносы в квартал</t>
  </si>
  <si>
    <t>Расходы на заработную плату и страховые взносы</t>
  </si>
  <si>
    <t>NPVн (тыс. руб.)</t>
  </si>
  <si>
    <t>IP</t>
  </si>
  <si>
    <t>Чистый оборотный капитал (NWC)</t>
  </si>
  <si>
    <t>Текущие активы (CA)</t>
  </si>
  <si>
    <t>Текущие пассивы (CL)</t>
  </si>
  <si>
    <t>Расчет терминальной стоимости проекта</t>
  </si>
  <si>
    <t>Свободный денежный поток</t>
  </si>
  <si>
    <t>Средний темп роста свободного денежного потока</t>
  </si>
  <si>
    <t>Темп роста свободного денежного потока в постпрогнозный период</t>
  </si>
  <si>
    <t>Ставка дисконтирования в постпрогнозный период</t>
  </si>
  <si>
    <t>Терминальная стоимость проекта</t>
  </si>
  <si>
    <t>Средняя годовая ставка дисконтирования в прогнозный период</t>
  </si>
  <si>
    <t>Среднее квартальное значение WACC</t>
  </si>
  <si>
    <t>Среднее годовое значение WACC</t>
  </si>
  <si>
    <t>Средний период оборачиваемости товарно-материальных запасов (DSI)</t>
  </si>
  <si>
    <t>Средняя дебиторская задолженность</t>
  </si>
  <si>
    <t>Средний период оборачиваемости дебиторской задолженности (DSO)</t>
  </si>
  <si>
    <t>Средняя кредиторская задолженность</t>
  </si>
  <si>
    <t>Средний период оборачиваемости кредиторской задолженности (DPO)</t>
  </si>
  <si>
    <t>Средний период оборачиваемости запасов (DSI)</t>
  </si>
  <si>
    <t>Длина операционного цикла (OCP)</t>
  </si>
  <si>
    <t>Длина финансового цикла (цикла конверсии денежных средств) (CCC)</t>
  </si>
  <si>
    <t>Средние долгосрочные активы</t>
  </si>
  <si>
    <t>Средние активы</t>
  </si>
  <si>
    <t>Чистые активы</t>
  </si>
  <si>
    <t>Средние чистые активы</t>
  </si>
  <si>
    <t>Коэффициент оборачиваемости чистых активов</t>
  </si>
  <si>
    <t>Анализ показателей ликвидности</t>
  </si>
  <si>
    <t>Анализ показателей деловой активности (оборачиваемости)</t>
  </si>
  <si>
    <t>Качественный анализ рисков проекта</t>
  </si>
  <si>
    <t>Идентификация рисков</t>
  </si>
  <si>
    <t>Возможный ущерб (оценка)</t>
  </si>
  <si>
    <t>Меры по борьбе с рисками</t>
  </si>
  <si>
    <t>Название</t>
  </si>
  <si>
    <t>Причины возникновения</t>
  </si>
  <si>
    <t>Строительный риск</t>
  </si>
  <si>
    <t>Маркетинговый риск</t>
  </si>
  <si>
    <t>Риск участников проекта</t>
  </si>
  <si>
    <t>Организационно-управленческий риск</t>
  </si>
  <si>
    <t>Финансовый риск</t>
  </si>
  <si>
    <t>Форс-мажор</t>
  </si>
  <si>
    <t>Количественный анализ рисков проекта (анализ чувствительности)</t>
  </si>
  <si>
    <t>Дисконтированный инвестированный капитал</t>
  </si>
  <si>
    <t>Инвестированный капитал</t>
  </si>
  <si>
    <t>Рентабельность чистых активов (RONA)</t>
  </si>
  <si>
    <t>Рентабельность инвестированного капитала (ROIC)</t>
  </si>
  <si>
    <t>Средний Инвестированный капитал</t>
  </si>
  <si>
    <t>Налоговая база</t>
  </si>
  <si>
    <t>Сумма переносимого убытка</t>
  </si>
  <si>
    <t>Прибыль (убыток) до налогообложения</t>
  </si>
  <si>
    <t>Требуемая норма доходности в пересчете на квартал</t>
  </si>
  <si>
    <t>Общепроизводственные расходы в квартал</t>
  </si>
  <si>
    <t>Гель  для восстановлния зубов</t>
  </si>
  <si>
    <t>Зубная паста, восстанавливающая зубы</t>
  </si>
  <si>
    <t>Продажа клиникам</t>
  </si>
  <si>
    <t>Продажа аптекам</t>
  </si>
  <si>
    <t>Продажа через сайт</t>
  </si>
  <si>
    <t>Розничная продажа</t>
  </si>
  <si>
    <t>Запасы геля</t>
  </si>
  <si>
    <t>Запасы зубной пасты</t>
  </si>
  <si>
    <t>Гель (% от выручки с НДС)</t>
  </si>
  <si>
    <t>Паста(% от выручки с НДС)</t>
  </si>
  <si>
    <t>Фармацевт</t>
  </si>
  <si>
    <t>Технолог</t>
  </si>
  <si>
    <t>Упаковщик-сортировщик</t>
  </si>
  <si>
    <t>Уборщица</t>
  </si>
  <si>
    <t>Грузчик</t>
  </si>
  <si>
    <t>Руководитель отдела</t>
  </si>
  <si>
    <t>Бухгалтер</t>
  </si>
  <si>
    <t>Менеджер по закупкам</t>
  </si>
  <si>
    <t>Менеджер по продажам</t>
  </si>
  <si>
    <t>Основа геля</t>
  </si>
  <si>
    <t>мг</t>
  </si>
  <si>
    <t>мл</t>
  </si>
  <si>
    <t>Основа пасты с антикариозным эффектом</t>
  </si>
  <si>
    <t>Активное вещество (alfa-MSH)</t>
  </si>
  <si>
    <t xml:space="preserve">Активное вещество (alfa-MSH) </t>
  </si>
  <si>
    <t>Коэффициент общей платёжеспособности</t>
  </si>
  <si>
    <t>Коэффициент соотношения собственных и заёмных средств</t>
  </si>
  <si>
    <t>Анализ показателей рентабельности</t>
  </si>
  <si>
    <t>Темп прироста рентабельности собственного капитала</t>
  </si>
  <si>
    <t>Среднее значение рентабельности собственного капитала</t>
  </si>
  <si>
    <t xml:space="preserve">Операционная прибыль </t>
  </si>
  <si>
    <t>Средний собственный капитал</t>
  </si>
  <si>
    <t>Маржа валовой прибыли</t>
  </si>
  <si>
    <t>Маржа чистой прибыли</t>
  </si>
  <si>
    <t>EBIT</t>
  </si>
  <si>
    <t>Маржа EBITDA</t>
  </si>
  <si>
    <t>Рентабельность продаж (маржа EBIT)</t>
  </si>
  <si>
    <t>Рентабельность активов по чистой прибыли</t>
  </si>
  <si>
    <t>Рентабельность активов по EBIT</t>
  </si>
  <si>
    <t>Рентабельность чистых активов по EBIT</t>
  </si>
  <si>
    <t>Рентабельность собственного капитала</t>
  </si>
  <si>
    <t>Рентабельность собственного капитала по чистой прибыли (ROE)</t>
  </si>
  <si>
    <t>Рентабельность активов по EBIT (ROA)</t>
  </si>
  <si>
    <t>Анализ долговой и налоговой нагрузки</t>
  </si>
  <si>
    <t>Коэффициент долговой нагрузки</t>
  </si>
  <si>
    <t>Концепция предельной эффективности бизнеса</t>
  </si>
  <si>
    <t>Темп роста дохода (прибыли)</t>
  </si>
  <si>
    <t>Темп роста оборота (выручки)</t>
  </si>
  <si>
    <t>Темп роста активов</t>
  </si>
  <si>
    <t>Темп роста собственного капитала</t>
  </si>
  <si>
    <t>Вывод об эффективности бизнеса</t>
  </si>
  <si>
    <t>Страховые взносы в госуд. внебюджетные фонды</t>
  </si>
  <si>
    <t>http://exceltable.com/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</si>
</sst>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р_._-;\-* #,##0.00_р_._-;_-* &quot;-&quot;??_р_._-;_-@_-"/>
    <numFmt numFmtId="165" formatCode="0.0%"/>
    <numFmt numFmtId="166" formatCode="0.0"/>
    <numFmt numFmtId="167" formatCode="General_)"/>
    <numFmt numFmtId="168" formatCode="#,##0.0"/>
    <numFmt numFmtId="169" formatCode="#,##0.0000"/>
  </numFmts>
  <fonts count="39" x14ac:knownFonts="1">
    <font>
      <sz val="10"/>
      <name val="Arial"/>
      <charset val="204"/>
    </font>
    <font>
      <sz val="10"/>
      <name val="Arial"/>
      <charset val="204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9"/>
      <name val="Arial Narrow"/>
      <family val="2"/>
    </font>
    <font>
      <sz val="10"/>
      <color indexed="9"/>
      <name val="Arial Narrow"/>
      <family val="2"/>
    </font>
    <font>
      <b/>
      <i/>
      <sz val="10"/>
      <name val="Arial Narrow"/>
      <family val="2"/>
    </font>
    <font>
      <sz val="10"/>
      <color indexed="17"/>
      <name val="Arial Narrow"/>
      <family val="2"/>
    </font>
    <font>
      <b/>
      <i/>
      <sz val="10"/>
      <color indexed="17"/>
      <name val="Arial Narrow"/>
      <family val="2"/>
    </font>
    <font>
      <i/>
      <sz val="10"/>
      <name val="Arial Narrow"/>
      <family val="2"/>
    </font>
    <font>
      <b/>
      <sz val="10"/>
      <color indexed="56"/>
      <name val="Arial Narrow"/>
      <family val="2"/>
    </font>
    <font>
      <b/>
      <i/>
      <sz val="10"/>
      <color indexed="56"/>
      <name val="Arial Narrow"/>
      <family val="2"/>
    </font>
    <font>
      <b/>
      <sz val="10"/>
      <color indexed="12"/>
      <name val="Arial Narrow"/>
      <family val="2"/>
    </font>
    <font>
      <b/>
      <sz val="10"/>
      <color indexed="8"/>
      <name val="Arial Narrow"/>
      <family val="2"/>
    </font>
    <font>
      <sz val="10"/>
      <color indexed="63"/>
      <name val="Arial Narrow"/>
      <family val="2"/>
    </font>
    <font>
      <i/>
      <sz val="10"/>
      <color indexed="63"/>
      <name val="Arial Narrow"/>
      <family val="2"/>
    </font>
    <font>
      <sz val="10"/>
      <name val="Arial"/>
      <charset val="204"/>
    </font>
    <font>
      <sz val="8"/>
      <name val="Calibri"/>
      <family val="2"/>
      <charset val="204"/>
    </font>
    <font>
      <b/>
      <sz val="12"/>
      <name val="Arial Narrow"/>
      <family val="2"/>
    </font>
    <font>
      <i/>
      <sz val="8"/>
      <name val="Arial Narrow"/>
      <family val="2"/>
    </font>
    <font>
      <sz val="10"/>
      <name val="Calibri"/>
      <family val="2"/>
      <charset val="204"/>
    </font>
    <font>
      <sz val="10"/>
      <name val="MS Sans Serif"/>
      <family val="2"/>
      <charset val="204"/>
    </font>
    <font>
      <sz val="11"/>
      <color indexed="8"/>
      <name val="Calibri"/>
      <family val="2"/>
      <charset val="204"/>
    </font>
    <font>
      <sz val="10"/>
      <color indexed="55"/>
      <name val="Arial Narrow"/>
      <family val="2"/>
    </font>
    <font>
      <b/>
      <sz val="10"/>
      <color indexed="55"/>
      <name val="Arial Narrow"/>
      <family val="2"/>
    </font>
    <font>
      <i/>
      <sz val="10"/>
      <color indexed="55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i/>
      <sz val="10"/>
      <color indexed="8"/>
      <name val="Arial Narrow"/>
      <family val="2"/>
    </font>
    <font>
      <b/>
      <u/>
      <sz val="10"/>
      <color indexed="8"/>
      <name val="Arial Narrow"/>
      <family val="2"/>
    </font>
    <font>
      <b/>
      <i/>
      <sz val="10"/>
      <color indexed="8"/>
      <name val="Arial Narrow"/>
      <family val="2"/>
    </font>
    <font>
      <sz val="10"/>
      <color indexed="9"/>
      <name val="Arial Narrow"/>
      <family val="2"/>
    </font>
    <font>
      <sz val="10"/>
      <color indexed="17"/>
      <name val="Arial Narrow"/>
      <family val="2"/>
    </font>
    <font>
      <sz val="10"/>
      <color indexed="17"/>
      <name val="Arial"/>
      <family val="2"/>
      <charset val="204"/>
    </font>
    <font>
      <sz val="10"/>
      <name val="Arial Narrow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charset val="204"/>
      <scheme val="minor"/>
    </font>
    <font>
      <u/>
      <sz val="10"/>
      <color theme="10"/>
      <name val="Arial"/>
      <charset val="204"/>
    </font>
    <font>
      <u/>
      <sz val="14"/>
      <color theme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6" fillId="0" borderId="0"/>
    <xf numFmtId="9" fontId="22" fillId="0" borderId="0" applyFont="0" applyFill="0" applyBorder="0" applyAlignment="0" applyProtection="0"/>
    <xf numFmtId="0" fontId="36" fillId="0" borderId="0"/>
    <xf numFmtId="0" fontId="21" fillId="0" borderId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37" fillId="0" borderId="0" applyNumberFormat="0" applyFill="0" applyBorder="0" applyAlignment="0" applyProtection="0"/>
  </cellStyleXfs>
  <cellXfs count="3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7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9" fontId="9" fillId="0" borderId="0" xfId="0" applyNumberFormat="1" applyFont="1" applyAlignment="1">
      <alignment horizontal="left"/>
    </xf>
    <xf numFmtId="9" fontId="7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7" fillId="0" borderId="0" xfId="0" applyFont="1"/>
    <xf numFmtId="0" fontId="3" fillId="0" borderId="0" xfId="0" applyFont="1"/>
    <xf numFmtId="0" fontId="6" fillId="0" borderId="0" xfId="0" applyFont="1"/>
    <xf numFmtId="3" fontId="2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Border="1"/>
    <xf numFmtId="0" fontId="7" fillId="0" borderId="0" xfId="0" applyFont="1" applyBorder="1"/>
    <xf numFmtId="0" fontId="2" fillId="0" borderId="0" xfId="0" applyFont="1" applyBorder="1" applyAlignment="1">
      <alignment horizontal="center"/>
    </xf>
    <xf numFmtId="3" fontId="7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0" fontId="10" fillId="0" borderId="0" xfId="0" applyFont="1" applyBorder="1"/>
    <xf numFmtId="0" fontId="3" fillId="0" borderId="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3" fillId="0" borderId="0" xfId="0" applyFont="1" applyBorder="1"/>
    <xf numFmtId="0" fontId="9" fillId="0" borderId="0" xfId="0" applyFont="1" applyBorder="1"/>
    <xf numFmtId="3" fontId="3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/>
    <xf numFmtId="49" fontId="3" fillId="0" borderId="0" xfId="0" applyNumberFormat="1" applyFont="1" applyBorder="1"/>
    <xf numFmtId="49" fontId="9" fillId="0" borderId="0" xfId="0" applyNumberFormat="1" applyFont="1" applyBorder="1"/>
    <xf numFmtId="0" fontId="9" fillId="0" borderId="0" xfId="0" applyFont="1"/>
    <xf numFmtId="3" fontId="9" fillId="0" borderId="1" xfId="0" applyNumberFormat="1" applyFont="1" applyBorder="1" applyAlignment="1">
      <alignment horizontal="center"/>
    </xf>
    <xf numFmtId="49" fontId="10" fillId="0" borderId="0" xfId="0" applyNumberFormat="1" applyFont="1" applyBorder="1"/>
    <xf numFmtId="3" fontId="2" fillId="0" borderId="0" xfId="0" applyNumberFormat="1" applyFont="1"/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3" fontId="12" fillId="0" borderId="0" xfId="0" applyNumberFormat="1" applyFont="1"/>
    <xf numFmtId="0" fontId="12" fillId="0" borderId="0" xfId="0" applyFont="1" applyBorder="1" applyAlignment="1">
      <alignment horizontal="left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14" fillId="0" borderId="0" xfId="0" applyFont="1"/>
    <xf numFmtId="0" fontId="15" fillId="0" borderId="0" xfId="0" applyFont="1"/>
    <xf numFmtId="0" fontId="2" fillId="0" borderId="1" xfId="0" applyFont="1" applyBorder="1"/>
    <xf numFmtId="0" fontId="17" fillId="0" borderId="0" xfId="0" applyFont="1" applyBorder="1" applyAlignment="1">
      <alignment vertical="top" wrapText="1"/>
    </xf>
    <xf numFmtId="3" fontId="2" fillId="0" borderId="0" xfId="0" applyNumberFormat="1" applyFont="1" applyAlignment="1">
      <alignment horizontal="center"/>
    </xf>
    <xf numFmtId="10" fontId="2" fillId="0" borderId="0" xfId="0" applyNumberFormat="1" applyFont="1" applyBorder="1"/>
    <xf numFmtId="10" fontId="2" fillId="0" borderId="0" xfId="0" applyNumberFormat="1" applyFont="1"/>
    <xf numFmtId="3" fontId="15" fillId="0" borderId="0" xfId="0" applyNumberFormat="1" applyFont="1"/>
    <xf numFmtId="9" fontId="12" fillId="0" borderId="0" xfId="5" applyFont="1"/>
    <xf numFmtId="0" fontId="18" fillId="0" borderId="0" xfId="0" applyFont="1"/>
    <xf numFmtId="0" fontId="3" fillId="9" borderId="1" xfId="0" applyFont="1" applyFill="1" applyBorder="1"/>
    <xf numFmtId="2" fontId="2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 vertical="center"/>
    </xf>
    <xf numFmtId="4" fontId="7" fillId="0" borderId="0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3" fillId="0" borderId="1" xfId="0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3" fontId="2" fillId="0" borderId="1" xfId="0" applyNumberFormat="1" applyFont="1" applyFill="1" applyBorder="1" applyAlignment="1">
      <alignment horizontal="center" vertical="top" wrapText="1"/>
    </xf>
    <xf numFmtId="4" fontId="7" fillId="0" borderId="0" xfId="0" applyNumberFormat="1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center"/>
    </xf>
    <xf numFmtId="0" fontId="19" fillId="0" borderId="0" xfId="0" applyFont="1" applyFill="1" applyBorder="1"/>
    <xf numFmtId="0" fontId="23" fillId="0" borderId="0" xfId="0" applyFont="1"/>
    <xf numFmtId="0" fontId="23" fillId="0" borderId="0" xfId="0" applyFont="1" applyAlignment="1">
      <alignment horizontal="center"/>
    </xf>
    <xf numFmtId="1" fontId="23" fillId="0" borderId="1" xfId="0" applyNumberFormat="1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7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24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3" fillId="0" borderId="0" xfId="0" applyFont="1" applyFill="1" applyBorder="1"/>
    <xf numFmtId="9" fontId="24" fillId="0" borderId="0" xfId="0" applyNumberFormat="1" applyFont="1" applyFill="1" applyBorder="1" applyAlignment="1">
      <alignment horizontal="center"/>
    </xf>
    <xf numFmtId="0" fontId="23" fillId="0" borderId="0" xfId="0" applyFont="1" applyFill="1"/>
    <xf numFmtId="1" fontId="24" fillId="0" borderId="0" xfId="0" applyNumberFormat="1" applyFont="1" applyFill="1" applyBorder="1" applyAlignment="1">
      <alignment horizontal="center"/>
    </xf>
    <xf numFmtId="3" fontId="24" fillId="0" borderId="0" xfId="0" applyNumberFormat="1" applyFont="1" applyFill="1" applyAlignment="1">
      <alignment horizontal="center"/>
    </xf>
    <xf numFmtId="0" fontId="23" fillId="0" borderId="0" xfId="0" applyFont="1" applyBorder="1"/>
    <xf numFmtId="3" fontId="7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0" fontId="2" fillId="0" borderId="1" xfId="5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5" xfId="0" applyFont="1" applyBorder="1"/>
    <xf numFmtId="3" fontId="2" fillId="0" borderId="5" xfId="0" applyNumberFormat="1" applyFont="1" applyBorder="1" applyAlignment="1">
      <alignment horizontal="center"/>
    </xf>
    <xf numFmtId="1" fontId="2" fillId="0" borderId="0" xfId="0" applyNumberFormat="1" applyFont="1" applyBorder="1"/>
    <xf numFmtId="4" fontId="2" fillId="0" borderId="0" xfId="0" applyNumberFormat="1" applyFont="1" applyBorder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3" fontId="24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9" fontId="2" fillId="0" borderId="1" xfId="5" applyFont="1" applyBorder="1" applyAlignment="1">
      <alignment horizontal="center"/>
    </xf>
    <xf numFmtId="9" fontId="3" fillId="0" borderId="1" xfId="5" applyFont="1" applyBorder="1" applyAlignment="1">
      <alignment horizontal="center"/>
    </xf>
    <xf numFmtId="0" fontId="3" fillId="8" borderId="0" xfId="4" applyFont="1" applyFill="1" applyBorder="1" applyProtection="1"/>
    <xf numFmtId="0" fontId="3" fillId="0" borderId="0" xfId="4" applyFont="1" applyFill="1" applyBorder="1" applyAlignment="1" applyProtection="1">
      <alignment horizontal="left"/>
    </xf>
    <xf numFmtId="0" fontId="9" fillId="0" borderId="0" xfId="4" applyFont="1" applyFill="1" applyBorder="1" applyAlignment="1" applyProtection="1">
      <alignment horizontal="left"/>
    </xf>
    <xf numFmtId="0" fontId="2" fillId="0" borderId="0" xfId="4" applyFont="1" applyFill="1" applyBorder="1" applyAlignment="1" applyProtection="1">
      <alignment horizontal="left"/>
    </xf>
    <xf numFmtId="0" fontId="2" fillId="0" borderId="0" xfId="4" applyFont="1" applyFill="1" applyBorder="1" applyProtection="1"/>
    <xf numFmtId="0" fontId="6" fillId="0" borderId="0" xfId="4" applyFont="1" applyFill="1" applyBorder="1" applyAlignment="1" applyProtection="1">
      <alignment horizontal="left"/>
    </xf>
    <xf numFmtId="49" fontId="9" fillId="0" borderId="0" xfId="4" applyNumberFormat="1" applyFont="1" applyFill="1" applyBorder="1" applyAlignment="1" applyProtection="1">
      <alignment horizontal="left"/>
    </xf>
    <xf numFmtId="167" fontId="13" fillId="0" borderId="0" xfId="4" applyNumberFormat="1" applyFont="1" applyFill="1" applyBorder="1" applyAlignment="1" applyProtection="1"/>
    <xf numFmtId="4" fontId="23" fillId="0" borderId="0" xfId="0" applyNumberFormat="1" applyFont="1" applyBorder="1" applyAlignment="1">
      <alignment horizontal="center" vertical="center"/>
    </xf>
    <xf numFmtId="3" fontId="23" fillId="0" borderId="1" xfId="0" applyNumberFormat="1" applyFont="1" applyBorder="1" applyAlignment="1">
      <alignment horizontal="center" vertical="center"/>
    </xf>
    <xf numFmtId="0" fontId="2" fillId="0" borderId="0" xfId="0" quotePrefix="1" applyFont="1"/>
    <xf numFmtId="0" fontId="25" fillId="0" borderId="0" xfId="0" applyFont="1"/>
    <xf numFmtId="49" fontId="25" fillId="0" borderId="0" xfId="0" applyNumberFormat="1" applyFont="1"/>
    <xf numFmtId="168" fontId="2" fillId="0" borderId="1" xfId="0" applyNumberFormat="1" applyFont="1" applyBorder="1" applyAlignment="1">
      <alignment horizontal="center"/>
    </xf>
    <xf numFmtId="1" fontId="23" fillId="0" borderId="0" xfId="0" applyNumberFormat="1" applyFont="1" applyAlignment="1">
      <alignment horizontal="center"/>
    </xf>
    <xf numFmtId="1" fontId="24" fillId="0" borderId="0" xfId="0" applyNumberFormat="1" applyFont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3" fontId="25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9" fontId="2" fillId="0" borderId="1" xfId="5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6" fillId="0" borderId="0" xfId="3" applyFont="1"/>
    <xf numFmtId="0" fontId="26" fillId="0" borderId="0" xfId="3" applyFont="1" applyFill="1"/>
    <xf numFmtId="0" fontId="27" fillId="0" borderId="0" xfId="3" applyFont="1" applyAlignment="1">
      <alignment vertical="center" wrapText="1"/>
    </xf>
    <xf numFmtId="0" fontId="27" fillId="0" borderId="0" xfId="3" applyFont="1"/>
    <xf numFmtId="0" fontId="26" fillId="0" borderId="0" xfId="3" applyFont="1" applyAlignment="1">
      <alignment vertical="center" wrapText="1"/>
    </xf>
    <xf numFmtId="0" fontId="7" fillId="0" borderId="1" xfId="0" applyNumberFormat="1" applyFont="1" applyBorder="1" applyAlignment="1">
      <alignment horizontal="center"/>
    </xf>
    <xf numFmtId="3" fontId="23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26" fillId="0" borderId="0" xfId="3" applyFont="1" applyBorder="1" applyAlignment="1">
      <alignment vertical="center" wrapText="1"/>
    </xf>
    <xf numFmtId="0" fontId="27" fillId="0" borderId="0" xfId="3" applyFont="1" applyBorder="1" applyAlignment="1">
      <alignment vertical="center" wrapText="1"/>
    </xf>
    <xf numFmtId="0" fontId="28" fillId="0" borderId="0" xfId="3" applyFont="1" applyBorder="1" applyAlignment="1">
      <alignment horizontal="right" vertical="center" wrapText="1"/>
    </xf>
    <xf numFmtId="0" fontId="28" fillId="0" borderId="0" xfId="3" applyFont="1" applyBorder="1" applyAlignment="1">
      <alignment vertical="center" wrapText="1"/>
    </xf>
    <xf numFmtId="0" fontId="26" fillId="0" borderId="0" xfId="3" applyFont="1" applyBorder="1"/>
    <xf numFmtId="0" fontId="27" fillId="0" borderId="0" xfId="3" applyFont="1" applyBorder="1" applyAlignment="1">
      <alignment horizontal="left" vertical="center" wrapText="1"/>
    </xf>
    <xf numFmtId="3" fontId="26" fillId="0" borderId="1" xfId="3" applyNumberFormat="1" applyFont="1" applyBorder="1" applyAlignment="1">
      <alignment horizontal="center"/>
    </xf>
    <xf numFmtId="3" fontId="27" fillId="0" borderId="1" xfId="3" applyNumberFormat="1" applyFont="1" applyBorder="1" applyAlignment="1">
      <alignment horizontal="center"/>
    </xf>
    <xf numFmtId="0" fontId="26" fillId="0" borderId="0" xfId="3" applyFont="1" applyBorder="1" applyAlignment="1">
      <alignment horizontal="center" vertical="center" wrapText="1"/>
    </xf>
    <xf numFmtId="3" fontId="28" fillId="0" borderId="1" xfId="3" applyNumberFormat="1" applyFont="1" applyBorder="1" applyAlignment="1">
      <alignment horizontal="center"/>
    </xf>
    <xf numFmtId="0" fontId="26" fillId="0" borderId="0" xfId="3" applyFont="1" applyBorder="1" applyAlignment="1">
      <alignment horizontal="right"/>
    </xf>
    <xf numFmtId="0" fontId="26" fillId="0" borderId="0" xfId="6" applyNumberFormat="1" applyFont="1" applyBorder="1"/>
    <xf numFmtId="0" fontId="26" fillId="0" borderId="0" xfId="3" applyFont="1" applyFill="1" applyBorder="1" applyAlignment="1">
      <alignment vertical="center" wrapText="1"/>
    </xf>
    <xf numFmtId="1" fontId="26" fillId="0" borderId="1" xfId="3" applyNumberFormat="1" applyFont="1" applyBorder="1" applyAlignment="1">
      <alignment horizontal="center"/>
    </xf>
    <xf numFmtId="3" fontId="26" fillId="0" borderId="1" xfId="8" applyNumberFormat="1" applyFont="1" applyBorder="1" applyAlignment="1">
      <alignment horizontal="center" vertical="center"/>
    </xf>
    <xf numFmtId="3" fontId="28" fillId="0" borderId="1" xfId="8" applyNumberFormat="1" applyFont="1" applyBorder="1" applyAlignment="1">
      <alignment horizontal="center" vertical="center"/>
    </xf>
    <xf numFmtId="3" fontId="27" fillId="0" borderId="1" xfId="8" applyNumberFormat="1" applyFont="1" applyBorder="1" applyAlignment="1">
      <alignment horizontal="center" vertical="center"/>
    </xf>
    <xf numFmtId="3" fontId="26" fillId="0" borderId="0" xfId="8" applyNumberFormat="1" applyFont="1" applyAlignment="1">
      <alignment horizontal="center" vertical="center"/>
    </xf>
    <xf numFmtId="3" fontId="26" fillId="0" borderId="0" xfId="8" applyNumberFormat="1" applyFont="1" applyBorder="1" applyAlignment="1">
      <alignment horizontal="center" vertical="center"/>
    </xf>
    <xf numFmtId="0" fontId="3" fillId="8" borderId="0" xfId="0" applyFont="1" applyFill="1"/>
    <xf numFmtId="0" fontId="28" fillId="0" borderId="0" xfId="3" applyFont="1" applyAlignment="1">
      <alignment horizontal="right"/>
    </xf>
    <xf numFmtId="3" fontId="28" fillId="0" borderId="0" xfId="8" applyNumberFormat="1" applyFont="1" applyBorder="1" applyAlignment="1">
      <alignment horizontal="center" vertical="center"/>
    </xf>
    <xf numFmtId="0" fontId="27" fillId="0" borderId="0" xfId="3" applyFont="1" applyAlignment="1">
      <alignment horizontal="left"/>
    </xf>
    <xf numFmtId="3" fontId="25" fillId="0" borderId="0" xfId="0" applyNumberFormat="1" applyFont="1" applyBorder="1" applyAlignment="1">
      <alignment horizontal="left"/>
    </xf>
    <xf numFmtId="0" fontId="29" fillId="0" borderId="0" xfId="3" applyFont="1" applyBorder="1" applyAlignment="1">
      <alignment vertical="center" wrapText="1"/>
    </xf>
    <xf numFmtId="0" fontId="26" fillId="0" borderId="0" xfId="3" applyFont="1" applyBorder="1" applyAlignment="1">
      <alignment wrapText="1"/>
    </xf>
    <xf numFmtId="0" fontId="28" fillId="0" borderId="0" xfId="3" applyFont="1" applyBorder="1" applyAlignment="1">
      <alignment horizontal="right" wrapText="1"/>
    </xf>
    <xf numFmtId="0" fontId="27" fillId="0" borderId="0" xfId="3" applyFont="1" applyBorder="1" applyAlignment="1">
      <alignment wrapText="1"/>
    </xf>
    <xf numFmtId="3" fontId="26" fillId="0" borderId="0" xfId="3" applyNumberFormat="1" applyFont="1" applyBorder="1" applyAlignment="1">
      <alignment horizontal="center"/>
    </xf>
    <xf numFmtId="0" fontId="26" fillId="0" borderId="0" xfId="3" applyFont="1" applyBorder="1" applyAlignment="1">
      <alignment horizontal="center"/>
    </xf>
    <xf numFmtId="0" fontId="26" fillId="0" borderId="0" xfId="3" applyFont="1" applyBorder="1" applyAlignment="1">
      <alignment horizontal="left" wrapText="1"/>
    </xf>
    <xf numFmtId="0" fontId="26" fillId="0" borderId="0" xfId="3" applyFont="1" applyAlignment="1">
      <alignment horizontal="left"/>
    </xf>
    <xf numFmtId="0" fontId="27" fillId="0" borderId="0" xfId="3" applyFont="1" applyBorder="1" applyAlignment="1">
      <alignment horizontal="left" wrapText="1"/>
    </xf>
    <xf numFmtId="3" fontId="28" fillId="0" borderId="0" xfId="3" applyNumberFormat="1" applyFont="1" applyBorder="1" applyAlignment="1">
      <alignment horizontal="center"/>
    </xf>
    <xf numFmtId="3" fontId="28" fillId="0" borderId="0" xfId="6" applyNumberFormat="1" applyFont="1" applyBorder="1" applyAlignment="1">
      <alignment horizontal="center"/>
    </xf>
    <xf numFmtId="3" fontId="26" fillId="0" borderId="0" xfId="6" applyNumberFormat="1" applyFont="1" applyBorder="1" applyAlignment="1">
      <alignment horizontal="center"/>
    </xf>
    <xf numFmtId="3" fontId="26" fillId="0" borderId="0" xfId="3" applyNumberFormat="1" applyFont="1" applyBorder="1" applyAlignment="1">
      <alignment horizontal="left"/>
    </xf>
    <xf numFmtId="3" fontId="26" fillId="0" borderId="0" xfId="6" applyNumberFormat="1" applyFont="1" applyBorder="1" applyAlignment="1">
      <alignment horizontal="left"/>
    </xf>
    <xf numFmtId="9" fontId="26" fillId="0" borderId="1" xfId="5" applyFont="1" applyBorder="1" applyAlignment="1">
      <alignment horizontal="center" vertical="center"/>
    </xf>
    <xf numFmtId="9" fontId="27" fillId="0" borderId="1" xfId="5" applyFont="1" applyBorder="1" applyAlignment="1">
      <alignment horizontal="center" vertical="center"/>
    </xf>
    <xf numFmtId="3" fontId="28" fillId="0" borderId="3" xfId="8" applyNumberFormat="1" applyFont="1" applyBorder="1" applyAlignment="1">
      <alignment horizontal="center" vertical="center"/>
    </xf>
    <xf numFmtId="0" fontId="26" fillId="0" borderId="0" xfId="3" applyFont="1" applyBorder="1" applyAlignment="1">
      <alignment horizontal="left" vertical="center" wrapText="1" indent="1"/>
    </xf>
    <xf numFmtId="0" fontId="26" fillId="0" borderId="0" xfId="3" applyFont="1" applyFill="1" applyBorder="1" applyAlignment="1">
      <alignment horizontal="left" vertical="center" wrapText="1" indent="1"/>
    </xf>
    <xf numFmtId="0" fontId="26" fillId="0" borderId="0" xfId="3" applyFont="1" applyAlignment="1">
      <alignment horizontal="left" indent="1"/>
    </xf>
    <xf numFmtId="0" fontId="26" fillId="0" borderId="0" xfId="3" applyFont="1" applyBorder="1" applyAlignment="1">
      <alignment horizontal="left" wrapText="1" indent="1"/>
    </xf>
    <xf numFmtId="0" fontId="28" fillId="0" borderId="0" xfId="3" applyFont="1" applyBorder="1" applyAlignment="1">
      <alignment horizontal="left" vertical="center" wrapText="1" indent="1"/>
    </xf>
    <xf numFmtId="3" fontId="30" fillId="0" borderId="1" xfId="8" applyNumberFormat="1" applyFont="1" applyBorder="1" applyAlignment="1">
      <alignment horizontal="center" vertical="center"/>
    </xf>
    <xf numFmtId="0" fontId="31" fillId="0" borderId="0" xfId="0" applyFont="1" applyProtection="1"/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3" fontId="26" fillId="0" borderId="0" xfId="3" applyNumberFormat="1" applyFont="1" applyBorder="1"/>
    <xf numFmtId="0" fontId="28" fillId="0" borderId="0" xfId="3" applyFont="1" applyBorder="1" applyAlignment="1">
      <alignment horizontal="left" wrapText="1" indent="1"/>
    </xf>
    <xf numFmtId="9" fontId="28" fillId="0" borderId="1" xfId="5" applyFont="1" applyBorder="1" applyAlignment="1">
      <alignment horizontal="center" vertical="center"/>
    </xf>
    <xf numFmtId="9" fontId="26" fillId="0" borderId="0" xfId="5" applyFont="1" applyBorder="1" applyAlignment="1">
      <alignment horizontal="center" vertical="center"/>
    </xf>
    <xf numFmtId="9" fontId="26" fillId="0" borderId="0" xfId="5" applyFont="1" applyBorder="1" applyAlignment="1">
      <alignment horizontal="center"/>
    </xf>
    <xf numFmtId="9" fontId="26" fillId="0" borderId="1" xfId="5" applyFont="1" applyBorder="1" applyAlignment="1">
      <alignment horizontal="center"/>
    </xf>
    <xf numFmtId="9" fontId="27" fillId="0" borderId="1" xfId="5" applyFont="1" applyBorder="1" applyAlignment="1">
      <alignment horizontal="center"/>
    </xf>
    <xf numFmtId="9" fontId="28" fillId="0" borderId="1" xfId="5" applyFont="1" applyBorder="1" applyAlignment="1">
      <alignment horizontal="center"/>
    </xf>
    <xf numFmtId="9" fontId="26" fillId="0" borderId="0" xfId="5" applyFont="1" applyBorder="1"/>
    <xf numFmtId="0" fontId="29" fillId="0" borderId="0" xfId="3" applyFont="1" applyBorder="1" applyAlignment="1">
      <alignment vertical="center"/>
    </xf>
    <xf numFmtId="0" fontId="26" fillId="0" borderId="0" xfId="3" applyFont="1" applyBorder="1" applyAlignment="1">
      <alignment vertical="center"/>
    </xf>
    <xf numFmtId="2" fontId="26" fillId="0" borderId="0" xfId="3" applyNumberFormat="1" applyFont="1" applyBorder="1" applyAlignment="1">
      <alignment horizontal="center" vertical="center" wrapText="1"/>
    </xf>
    <xf numFmtId="0" fontId="28" fillId="0" borderId="0" xfId="3" applyFont="1" applyBorder="1"/>
    <xf numFmtId="3" fontId="26" fillId="0" borderId="1" xfId="3" applyNumberFormat="1" applyFont="1" applyBorder="1" applyAlignment="1">
      <alignment horizontal="center" vertical="center" wrapText="1"/>
    </xf>
    <xf numFmtId="2" fontId="27" fillId="0" borderId="1" xfId="3" applyNumberFormat="1" applyFont="1" applyBorder="1" applyAlignment="1">
      <alignment horizontal="center" vertical="center" wrapText="1"/>
    </xf>
    <xf numFmtId="0" fontId="29" fillId="0" borderId="0" xfId="3" applyFont="1" applyBorder="1" applyAlignment="1">
      <alignment horizontal="center" vertical="center"/>
    </xf>
    <xf numFmtId="0" fontId="26" fillId="0" borderId="0" xfId="3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 wrapText="1"/>
    </xf>
    <xf numFmtId="1" fontId="26" fillId="0" borderId="1" xfId="3" applyNumberFormat="1" applyFont="1" applyBorder="1" applyAlignment="1">
      <alignment horizontal="center" vertical="center" wrapText="1"/>
    </xf>
    <xf numFmtId="166" fontId="26" fillId="0" borderId="1" xfId="3" applyNumberFormat="1" applyFont="1" applyBorder="1" applyAlignment="1">
      <alignment horizontal="center" vertical="center" wrapText="1"/>
    </xf>
    <xf numFmtId="0" fontId="26" fillId="0" borderId="0" xfId="3" applyFont="1" applyBorder="1" applyAlignment="1">
      <alignment horizontal="left" indent="1"/>
    </xf>
    <xf numFmtId="0" fontId="27" fillId="0" borderId="0" xfId="3" applyFont="1" applyBorder="1"/>
    <xf numFmtId="1" fontId="27" fillId="0" borderId="1" xfId="3" applyNumberFormat="1" applyFont="1" applyBorder="1" applyAlignment="1">
      <alignment horizontal="center"/>
    </xf>
    <xf numFmtId="0" fontId="26" fillId="0" borderId="1" xfId="3" applyFont="1" applyBorder="1" applyAlignment="1">
      <alignment vertical="center" wrapText="1"/>
    </xf>
    <xf numFmtId="0" fontId="27" fillId="0" borderId="1" xfId="3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left"/>
    </xf>
    <xf numFmtId="0" fontId="3" fillId="9" borderId="1" xfId="0" applyFont="1" applyFill="1" applyBorder="1" applyAlignment="1">
      <alignment horizontal="center" vertical="center"/>
    </xf>
    <xf numFmtId="9" fontId="26" fillId="0" borderId="1" xfId="6" applyFont="1" applyBorder="1" applyAlignment="1">
      <alignment horizontal="right" vertical="center" wrapText="1"/>
    </xf>
    <xf numFmtId="2" fontId="26" fillId="0" borderId="1" xfId="3" applyNumberFormat="1" applyFont="1" applyBorder="1" applyAlignment="1">
      <alignment horizontal="right" vertical="center" wrapText="1"/>
    </xf>
    <xf numFmtId="0" fontId="26" fillId="0" borderId="1" xfId="3" applyFont="1" applyBorder="1" applyAlignment="1">
      <alignment horizontal="left" vertical="center" wrapText="1"/>
    </xf>
    <xf numFmtId="2" fontId="26" fillId="0" borderId="1" xfId="3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27" fillId="0" borderId="1" xfId="3" applyNumberFormat="1" applyFont="1" applyBorder="1" applyAlignment="1">
      <alignment horizontal="center" vertical="center"/>
    </xf>
    <xf numFmtId="0" fontId="28" fillId="0" borderId="0" xfId="3" applyFont="1" applyBorder="1" applyAlignment="1">
      <alignment horizontal="right"/>
    </xf>
    <xf numFmtId="9" fontId="27" fillId="0" borderId="1" xfId="5" applyFont="1" applyBorder="1" applyAlignment="1">
      <alignment horizontal="center" vertical="center" wrapText="1"/>
    </xf>
    <xf numFmtId="0" fontId="26" fillId="0" borderId="0" xfId="3" applyFont="1" applyBorder="1" applyAlignment="1">
      <alignment horizontal="left" vertical="center" wrapText="1" indent="2"/>
    </xf>
    <xf numFmtId="9" fontId="26" fillId="0" borderId="1" xfId="6" applyFont="1" applyBorder="1" applyAlignment="1">
      <alignment horizontal="center"/>
    </xf>
    <xf numFmtId="3" fontId="2" fillId="0" borderId="0" xfId="0" applyNumberFormat="1" applyFont="1" applyBorder="1" applyAlignment="1">
      <alignment horizontal="center" vertical="center"/>
    </xf>
    <xf numFmtId="0" fontId="4" fillId="7" borderId="0" xfId="0" applyFont="1" applyFill="1" applyBorder="1" applyAlignment="1">
      <alignment horizontal="left"/>
    </xf>
    <xf numFmtId="2" fontId="27" fillId="0" borderId="1" xfId="5" applyNumberFormat="1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/>
    </xf>
    <xf numFmtId="0" fontId="27" fillId="0" borderId="1" xfId="3" applyFont="1" applyBorder="1"/>
    <xf numFmtId="1" fontId="7" fillId="0" borderId="1" xfId="0" applyNumberFormat="1" applyFont="1" applyBorder="1" applyAlignment="1">
      <alignment horizontal="right"/>
    </xf>
    <xf numFmtId="9" fontId="7" fillId="0" borderId="1" xfId="5" applyFont="1" applyBorder="1" applyAlignment="1">
      <alignment horizontal="right"/>
    </xf>
    <xf numFmtId="4" fontId="31" fillId="0" borderId="0" xfId="0" applyNumberFormat="1" applyFont="1" applyFill="1" applyAlignment="1">
      <alignment horizontal="center"/>
    </xf>
    <xf numFmtId="3" fontId="12" fillId="0" borderId="0" xfId="0" applyNumberFormat="1" applyFont="1" applyAlignment="1">
      <alignment horizontal="right"/>
    </xf>
    <xf numFmtId="9" fontId="2" fillId="0" borderId="0" xfId="5" applyFont="1" applyAlignment="1">
      <alignment horizontal="center"/>
    </xf>
    <xf numFmtId="9" fontId="7" fillId="0" borderId="0" xfId="5" applyFont="1" applyAlignment="1">
      <alignment horizontal="center"/>
    </xf>
    <xf numFmtId="10" fontId="23" fillId="0" borderId="0" xfId="0" applyNumberFormat="1" applyFont="1"/>
    <xf numFmtId="9" fontId="2" fillId="0" borderId="0" xfId="5" applyFont="1"/>
    <xf numFmtId="10" fontId="2" fillId="0" borderId="0" xfId="5" applyNumberFormat="1" applyFont="1"/>
    <xf numFmtId="10" fontId="23" fillId="0" borderId="0" xfId="5" applyNumberFormat="1" applyFont="1"/>
    <xf numFmtId="0" fontId="23" fillId="2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3" fillId="4" borderId="0" xfId="0" applyFont="1" applyFill="1" applyAlignment="1">
      <alignment horizontal="center"/>
    </xf>
    <xf numFmtId="0" fontId="23" fillId="5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3" fontId="23" fillId="0" borderId="0" xfId="0" applyNumberFormat="1" applyFont="1"/>
    <xf numFmtId="9" fontId="23" fillId="0" borderId="0" xfId="5" applyFont="1"/>
    <xf numFmtId="0" fontId="24" fillId="0" borderId="0" xfId="0" applyFont="1"/>
    <xf numFmtId="3" fontId="7" fillId="0" borderId="6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165" fontId="32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33" fillId="0" borderId="0" xfId="0" applyFont="1" applyAlignment="1">
      <alignment horizontal="left"/>
    </xf>
    <xf numFmtId="3" fontId="32" fillId="0" borderId="1" xfId="0" applyNumberFormat="1" applyFont="1" applyBorder="1" applyAlignment="1">
      <alignment horizontal="center"/>
    </xf>
    <xf numFmtId="3" fontId="32" fillId="0" borderId="1" xfId="0" applyNumberFormat="1" applyFont="1" applyBorder="1" applyAlignment="1">
      <alignment horizontal="center" vertical="center"/>
    </xf>
    <xf numFmtId="0" fontId="34" fillId="0" borderId="0" xfId="0" applyFont="1"/>
    <xf numFmtId="3" fontId="32" fillId="0" borderId="2" xfId="0" applyNumberFormat="1" applyFont="1" applyBorder="1" applyAlignment="1">
      <alignment horizontal="center" vertical="center"/>
    </xf>
    <xf numFmtId="0" fontId="33" fillId="0" borderId="0" xfId="0" applyFont="1"/>
    <xf numFmtId="0" fontId="32" fillId="0" borderId="0" xfId="0" applyFont="1"/>
    <xf numFmtId="0" fontId="34" fillId="0" borderId="0" xfId="0" applyFont="1" applyBorder="1"/>
    <xf numFmtId="0" fontId="33" fillId="0" borderId="0" xfId="0" applyFont="1" applyBorder="1"/>
    <xf numFmtId="0" fontId="32" fillId="0" borderId="0" xfId="0" applyFont="1" applyBorder="1"/>
    <xf numFmtId="4" fontId="33" fillId="0" borderId="0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4" fontId="32" fillId="0" borderId="0" xfId="0" applyNumberFormat="1" applyFont="1" applyBorder="1" applyAlignment="1">
      <alignment horizontal="center" vertical="center"/>
    </xf>
    <xf numFmtId="2" fontId="32" fillId="0" borderId="4" xfId="0" applyNumberFormat="1" applyFont="1" applyBorder="1" applyAlignment="1">
      <alignment horizontal="center" vertical="center"/>
    </xf>
    <xf numFmtId="2" fontId="34" fillId="0" borderId="0" xfId="0" applyNumberFormat="1" applyFont="1" applyBorder="1"/>
    <xf numFmtId="2" fontId="32" fillId="0" borderId="0" xfId="0" applyNumberFormat="1" applyFont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/>
    <xf numFmtId="2" fontId="7" fillId="0" borderId="0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Fill="1" applyBorder="1" applyAlignment="1">
      <alignment horizontal="center" vertical="center"/>
    </xf>
    <xf numFmtId="0" fontId="2" fillId="10" borderId="0" xfId="0" applyFont="1" applyFill="1"/>
    <xf numFmtId="0" fontId="33" fillId="10" borderId="0" xfId="0" applyFont="1" applyFill="1"/>
    <xf numFmtId="0" fontId="34" fillId="10" borderId="0" xfId="0" applyFont="1" applyFill="1"/>
    <xf numFmtId="3" fontId="32" fillId="0" borderId="1" xfId="0" applyNumberFormat="1" applyFont="1" applyFill="1" applyBorder="1" applyAlignment="1">
      <alignment horizontal="center" vertical="center"/>
    </xf>
    <xf numFmtId="3" fontId="32" fillId="0" borderId="0" xfId="0" applyNumberFormat="1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1" xfId="3" applyFont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center" vertical="center"/>
    </xf>
    <xf numFmtId="0" fontId="38" fillId="0" borderId="0" xfId="10" applyFont="1"/>
    <xf numFmtId="0" fontId="2" fillId="0" borderId="1" xfId="0" applyFont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1">
    <cellStyle name="Comma" xfId="8" builtinId="3"/>
    <cellStyle name="Hyperlink" xfId="10" builtinId="8"/>
    <cellStyle name="Normal" xfId="0" builtinId="0"/>
    <cellStyle name="Normal 2" xfId="1"/>
    <cellStyle name="Percent" xfId="5" builtinId="5"/>
    <cellStyle name="Percent 2" xfId="2"/>
    <cellStyle name="Обычный 2" xfId="3"/>
    <cellStyle name="Обычный_MAIN 2" xfId="4"/>
    <cellStyle name="Процентный 2" xfId="6"/>
    <cellStyle name="Процентный 3" xfId="7"/>
    <cellStyle name="Финансовый 2" xfId="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Средневзвешенная стоимость привлекаемого финансирования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5320259775023"/>
          <c:y val="0.3180717872383319"/>
          <c:w val="0.67664829619264333"/>
          <c:h val="0.45652656521266471"/>
        </c:manualLayout>
      </c:layout>
      <c:lineChart>
        <c:grouping val="standard"/>
        <c:varyColors val="0"/>
        <c:ser>
          <c:idx val="0"/>
          <c:order val="0"/>
          <c:tx>
            <c:v>WACC, %</c:v>
          </c:tx>
          <c:marker>
            <c:symbol val="none"/>
          </c:marker>
          <c:cat>
            <c:strRef>
              <c:f>'Финан-е'!$E$2:$X$2</c:f>
              <c:strCache>
                <c:ptCount val="20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5 кв.</c:v>
                </c:pt>
                <c:pt idx="5">
                  <c:v>6 кв.</c:v>
                </c:pt>
                <c:pt idx="6">
                  <c:v>7 кв.</c:v>
                </c:pt>
                <c:pt idx="7">
                  <c:v>8 кв.</c:v>
                </c:pt>
                <c:pt idx="8">
                  <c:v>9 кв.</c:v>
                </c:pt>
                <c:pt idx="9">
                  <c:v>10 кв.</c:v>
                </c:pt>
                <c:pt idx="10">
                  <c:v>11 кв.</c:v>
                </c:pt>
                <c:pt idx="11">
                  <c:v>12 кв.</c:v>
                </c:pt>
                <c:pt idx="12">
                  <c:v>13 кв.</c:v>
                </c:pt>
                <c:pt idx="13">
                  <c:v>14 кв.</c:v>
                </c:pt>
                <c:pt idx="14">
                  <c:v>15 кв.</c:v>
                </c:pt>
                <c:pt idx="15">
                  <c:v>16 кв.</c:v>
                </c:pt>
                <c:pt idx="16">
                  <c:v>17 кв.</c:v>
                </c:pt>
                <c:pt idx="17">
                  <c:v>18 кв.</c:v>
                </c:pt>
                <c:pt idx="18">
                  <c:v>19 кв.</c:v>
                </c:pt>
                <c:pt idx="19">
                  <c:v>20 кв.</c:v>
                </c:pt>
              </c:strCache>
            </c:strRef>
          </c:cat>
          <c:val>
            <c:numRef>
              <c:f>'Финан-е'!$E$76:$X$76</c:f>
              <c:numCache>
                <c:formatCode>0.00%</c:formatCode>
                <c:ptCount val="20"/>
                <c:pt idx="0">
                  <c:v>4.8386415680788372E-2</c:v>
                </c:pt>
                <c:pt idx="1">
                  <c:v>4.8258965923318589E-2</c:v>
                </c:pt>
                <c:pt idx="2">
                  <c:v>4.8137669845721438E-2</c:v>
                </c:pt>
                <c:pt idx="3">
                  <c:v>4.8022267657039958E-2</c:v>
                </c:pt>
                <c:pt idx="4">
                  <c:v>4.7912506746142502E-2</c:v>
                </c:pt>
                <c:pt idx="5">
                  <c:v>4.9308467646289253E-2</c:v>
                </c:pt>
                <c:pt idx="6">
                  <c:v>5.5601338463696699E-2</c:v>
                </c:pt>
                <c:pt idx="7">
                  <c:v>8.7759077054726783E-2</c:v>
                </c:pt>
                <c:pt idx="8">
                  <c:v>8.7759137417701569E-2</c:v>
                </c:pt>
                <c:pt idx="9">
                  <c:v>8.775924249436616E-2</c:v>
                </c:pt>
                <c:pt idx="10">
                  <c:v>8.7759309468022614E-2</c:v>
                </c:pt>
                <c:pt idx="11">
                  <c:v>8.7759424415887605E-2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03248"/>
        <c:axId val="191897760"/>
      </c:lineChart>
      <c:catAx>
        <c:axId val="19190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91897760"/>
        <c:crosses val="autoZero"/>
        <c:auto val="1"/>
        <c:lblAlgn val="ctr"/>
        <c:lblOffset val="100"/>
        <c:noMultiLvlLbl val="0"/>
      </c:catAx>
      <c:valAx>
        <c:axId val="1918977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91903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268136482939632"/>
          <c:y val="0.59498148097341497"/>
          <c:w val="0.97336045494313217"/>
          <c:h val="0.67356397523480305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3550508330753"/>
          <c:y val="0.17133650230302641"/>
          <c:w val="0.81833199809952839"/>
          <c:h val="0.5752011148744459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'Вертикальный анализ'!$A$6</c:f>
              <c:strCache>
                <c:ptCount val="1"/>
                <c:pt idx="0">
                  <c:v>Нематериальные активы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'Вертикальный анализ'!$C$6:$G$6</c:f>
              <c:numCache>
                <c:formatCode>0%</c:formatCode>
                <c:ptCount val="5"/>
                <c:pt idx="0">
                  <c:v>2.8153825055308123E-4</c:v>
                </c:pt>
                <c:pt idx="1">
                  <c:v>1.1672106929679719E-4</c:v>
                </c:pt>
                <c:pt idx="2">
                  <c:v>4.5868180223381461E-5</c:v>
                </c:pt>
                <c:pt idx="3">
                  <c:v>2.2178473178319809E-5</c:v>
                </c:pt>
                <c:pt idx="4">
                  <c:v>1.4115657718384597E-5</c:v>
                </c:pt>
              </c:numCache>
            </c:numRef>
          </c:val>
        </c:ser>
        <c:ser>
          <c:idx val="1"/>
          <c:order val="1"/>
          <c:tx>
            <c:strRef>
              <c:f>'Вертикальный анализ'!$A$7</c:f>
              <c:strCache>
                <c:ptCount val="1"/>
                <c:pt idx="0">
                  <c:v>Основные средства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'Вертикальный анализ'!$C$7:$G$7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7.8019799375177547E-4</c:v>
                </c:pt>
                <c:pt idx="3">
                  <c:v>2.113789730724559E-3</c:v>
                </c:pt>
                <c:pt idx="4">
                  <c:v>1.2913598024261105E-3</c:v>
                </c:pt>
              </c:numCache>
            </c:numRef>
          </c:val>
        </c:ser>
        <c:ser>
          <c:idx val="2"/>
          <c:order val="2"/>
          <c:tx>
            <c:strRef>
              <c:f>'Вертикальный анализ'!$A$8</c:f>
              <c:strCache>
                <c:ptCount val="1"/>
                <c:pt idx="0">
                  <c:v>Незавершенные капитальные вложения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'Вертикальный анализ'!$C$8:$G$8</c:f>
              <c:numCache>
                <c:formatCode>0%</c:formatCode>
                <c:ptCount val="5"/>
                <c:pt idx="0">
                  <c:v>7.2183331341004508E-3</c:v>
                </c:pt>
                <c:pt idx="1">
                  <c:v>7.7943211213820762E-3</c:v>
                </c:pt>
                <c:pt idx="2">
                  <c:v>3.3860310759570721E-3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'Вертикальный анализ'!$A$12</c:f>
              <c:strCache>
                <c:ptCount val="1"/>
                <c:pt idx="0">
                  <c:v>Запасы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'Вертикальный анализ'!$C$12:$G$12</c:f>
              <c:numCache>
                <c:formatCode>0%</c:formatCode>
                <c:ptCount val="5"/>
                <c:pt idx="0">
                  <c:v>8.7113087410532891E-2</c:v>
                </c:pt>
                <c:pt idx="1">
                  <c:v>0.19421543671758243</c:v>
                </c:pt>
                <c:pt idx="2">
                  <c:v>0.12716298700816014</c:v>
                </c:pt>
                <c:pt idx="3">
                  <c:v>8.5429508044190181E-2</c:v>
                </c:pt>
                <c:pt idx="4">
                  <c:v>7.0025294904281443E-2</c:v>
                </c:pt>
              </c:numCache>
            </c:numRef>
          </c:val>
        </c:ser>
        <c:ser>
          <c:idx val="4"/>
          <c:order val="4"/>
          <c:tx>
            <c:strRef>
              <c:f>'Вертикальный анализ'!$A$13</c:f>
              <c:strCache>
                <c:ptCount val="1"/>
                <c:pt idx="0">
                  <c:v>Дебиторская задолженность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'Вертикальный анализ'!$C$13:$G$13</c:f>
              <c:numCache>
                <c:formatCode>0%</c:formatCode>
                <c:ptCount val="5"/>
                <c:pt idx="0">
                  <c:v>0</c:v>
                </c:pt>
                <c:pt idx="1">
                  <c:v>0.16556809343803258</c:v>
                </c:pt>
                <c:pt idx="2">
                  <c:v>0.29350872482769208</c:v>
                </c:pt>
                <c:pt idx="3">
                  <c:v>0.26233610736907087</c:v>
                </c:pt>
                <c:pt idx="4">
                  <c:v>0.19630909598651619</c:v>
                </c:pt>
              </c:numCache>
            </c:numRef>
          </c:val>
        </c:ser>
        <c:ser>
          <c:idx val="5"/>
          <c:order val="5"/>
          <c:tx>
            <c:strRef>
              <c:f>'Вертикальный анализ'!$A$14</c:f>
              <c:strCache>
                <c:ptCount val="1"/>
                <c:pt idx="0">
                  <c:v>Авансы поставщикам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'Вертикальный анализ'!$C$14:$G$14</c:f>
              <c:numCache>
                <c:formatCode>0%</c:formatCode>
                <c:ptCount val="5"/>
                <c:pt idx="0">
                  <c:v>0.15801010258253939</c:v>
                </c:pt>
                <c:pt idx="1">
                  <c:v>0.18512014731044335</c:v>
                </c:pt>
                <c:pt idx="2">
                  <c:v>5.3841774370307655E-2</c:v>
                </c:pt>
                <c:pt idx="3">
                  <c:v>3.5621378933128188E-2</c:v>
                </c:pt>
                <c:pt idx="4">
                  <c:v>2.8978262891227576E-2</c:v>
                </c:pt>
              </c:numCache>
            </c:numRef>
          </c:val>
        </c:ser>
        <c:ser>
          <c:idx val="6"/>
          <c:order val="6"/>
          <c:tx>
            <c:strRef>
              <c:f>'Вертикальный анализ'!$A$15</c:f>
              <c:strCache>
                <c:ptCount val="1"/>
                <c:pt idx="0">
                  <c:v>НДС к получению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'Вертикальный анализ'!$C$15:$G$15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'Вертикальный анализ'!$A$16</c:f>
              <c:strCache>
                <c:ptCount val="1"/>
                <c:pt idx="0">
                  <c:v>Денежные средства и их эквиваленты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'Вертикальный анализ'!$C$16:$G$16</c:f>
              <c:numCache>
                <c:formatCode>0%</c:formatCode>
                <c:ptCount val="5"/>
                <c:pt idx="0">
                  <c:v>0.74737693862227417</c:v>
                </c:pt>
                <c:pt idx="1">
                  <c:v>0.44718528034326277</c:v>
                </c:pt>
                <c:pt idx="2">
                  <c:v>0.52127441654390771</c:v>
                </c:pt>
                <c:pt idx="3">
                  <c:v>0.61447703744970783</c:v>
                </c:pt>
                <c:pt idx="4">
                  <c:v>0.70338187075783043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864880"/>
        <c:axId val="235866448"/>
      </c:barChart>
      <c:catAx>
        <c:axId val="23586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5866448"/>
        <c:crosses val="autoZero"/>
        <c:auto val="1"/>
        <c:lblAlgn val="ctr"/>
        <c:lblOffset val="100"/>
        <c:noMultiLvlLbl val="0"/>
      </c:catAx>
      <c:valAx>
        <c:axId val="23586644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58648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0731851289673163E-2"/>
          <c:y val="0.76489501312335983"/>
          <c:w val="0.83578049731735315"/>
          <c:h val="0.2080514793605344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20097204642355"/>
          <c:y val="0.16532546769675172"/>
          <c:w val="0.8148423094082724"/>
          <c:h val="0.5565957412457308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'Вертикальный анализ'!$A$24</c:f>
              <c:strCache>
                <c:ptCount val="1"/>
                <c:pt idx="0">
                  <c:v>Уставный капитал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'Вертикальный анализ'!$C$24:$G$24</c:f>
              <c:numCache>
                <c:formatCode>0%</c:formatCode>
                <c:ptCount val="5"/>
                <c:pt idx="0">
                  <c:v>2.8060041494164518E-3</c:v>
                </c:pt>
                <c:pt idx="1">
                  <c:v>1.1782369748178719E-3</c:v>
                </c:pt>
                <c:pt idx="2">
                  <c:v>6.0625050921323052E-4</c:v>
                </c:pt>
                <c:pt idx="3">
                  <c:v>3.6471687826945538E-4</c:v>
                </c:pt>
                <c:pt idx="4">
                  <c:v>2.3527089048159627E-4</c:v>
                </c:pt>
              </c:numCache>
            </c:numRef>
          </c:val>
        </c:ser>
        <c:ser>
          <c:idx val="1"/>
          <c:order val="1"/>
          <c:tx>
            <c:strRef>
              <c:f>'Вертикальный анализ'!$A$25</c:f>
              <c:strCache>
                <c:ptCount val="1"/>
                <c:pt idx="0">
                  <c:v>Целевое финансирование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'Вертикальный анализ'!$C$25:$G$25</c:f>
              <c:numCache>
                <c:formatCode>0%</c:formatCode>
                <c:ptCount val="5"/>
                <c:pt idx="0">
                  <c:v>1.6505906761273247E-2</c:v>
                </c:pt>
                <c:pt idx="1">
                  <c:v>1.3861611468445551E-2</c:v>
                </c:pt>
                <c:pt idx="2">
                  <c:v>5.5113682655748234E-3</c:v>
                </c:pt>
                <c:pt idx="3">
                  <c:v>2.7016065056996697E-3</c:v>
                </c:pt>
                <c:pt idx="4">
                  <c:v>1.7427473369007131E-3</c:v>
                </c:pt>
              </c:numCache>
            </c:numRef>
          </c:val>
        </c:ser>
        <c:ser>
          <c:idx val="2"/>
          <c:order val="2"/>
          <c:tx>
            <c:strRef>
              <c:f>'Вертикальный анализ'!$A$26</c:f>
              <c:strCache>
                <c:ptCount val="1"/>
                <c:pt idx="0">
                  <c:v>Нераспределенная прибыль (+) / убыток (-)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'Вертикальный анализ'!$C$26:$G$26</c:f>
              <c:numCache>
                <c:formatCode>0%</c:formatCode>
                <c:ptCount val="5"/>
                <c:pt idx="0">
                  <c:v>0.61962137868645806</c:v>
                </c:pt>
                <c:pt idx="1">
                  <c:v>0.98496046207847954</c:v>
                </c:pt>
                <c:pt idx="2">
                  <c:v>0.99388253555428152</c:v>
                </c:pt>
                <c:pt idx="3">
                  <c:v>1.0390933855355564</c:v>
                </c:pt>
                <c:pt idx="4">
                  <c:v>1.0320173657640515</c:v>
                </c:pt>
              </c:numCache>
            </c:numRef>
          </c:val>
        </c:ser>
        <c:ser>
          <c:idx val="3"/>
          <c:order val="3"/>
          <c:tx>
            <c:strRef>
              <c:f>'Вертикальный анализ'!$A$30</c:f>
              <c:strCache>
                <c:ptCount val="1"/>
                <c:pt idx="0">
                  <c:v>Долгосрочные кредиты и займы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'Вертикальный анализ'!$C$30:$G$30</c:f>
              <c:numCache>
                <c:formatCode>0%</c:formatCode>
                <c:ptCount val="5"/>
                <c:pt idx="0">
                  <c:v>0.28885336832228181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'Вертикальный анализ'!$A$34</c:f>
              <c:strCache>
                <c:ptCount val="1"/>
                <c:pt idx="0">
                  <c:v>Краткосрочные кредиты и займы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'Вертикальный анализ'!$C$34:$G$34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'Вертикальный анализ'!$A$35</c:f>
              <c:strCache>
                <c:ptCount val="1"/>
                <c:pt idx="0">
                  <c:v>Кредиторская задолженность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'Вертикальный анализ'!$C$35:$G$35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'Вертикальный анализ'!$A$36</c:f>
              <c:strCache>
                <c:ptCount val="1"/>
                <c:pt idx="0">
                  <c:v>Авансы покупателей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'Вертикальный анализ'!$C$36:$G$36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'Вертикальный анализ'!$A$37</c:f>
              <c:strCache>
                <c:ptCount val="1"/>
                <c:pt idx="0">
                  <c:v>Задолженность перед персоналом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'Вертикальный анализ'!$C$37:$G$37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'Вертикальный анализ'!$A$38</c:f>
              <c:strCache>
                <c:ptCount val="1"/>
                <c:pt idx="0">
                  <c:v>Задолженность по выплате процентов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'Вертикальный анализ'!$C$38:$G$38</c:f>
              <c:numCache>
                <c:formatCode>0%</c:formatCode>
                <c:ptCount val="5"/>
                <c:pt idx="0">
                  <c:v>7.2213342080570397E-2</c:v>
                </c:pt>
                <c:pt idx="1">
                  <c:v>-3.105217429456068E-7</c:v>
                </c:pt>
                <c:pt idx="2">
                  <c:v>-1.5432906950764841E-7</c:v>
                </c:pt>
                <c:pt idx="3">
                  <c:v>-4.2159708919525585E-2</c:v>
                </c:pt>
                <c:pt idx="4">
                  <c:v>-3.3995383991433654E-2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869192"/>
        <c:axId val="235867232"/>
      </c:barChart>
      <c:catAx>
        <c:axId val="235869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5867232"/>
        <c:crosses val="autoZero"/>
        <c:auto val="1"/>
        <c:lblAlgn val="ctr"/>
        <c:lblOffset val="100"/>
        <c:noMultiLvlLbl val="0"/>
      </c:catAx>
      <c:valAx>
        <c:axId val="2358672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58691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1538522473423211E-2"/>
          <c:y val="0.7329428464299107"/>
          <c:w val="0.8462495709163117"/>
          <c:h val="0.259009855910868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0636242808459"/>
          <c:y val="0.16744420298031065"/>
          <c:w val="0.66196534978404931"/>
          <c:h val="0.58605471043108703"/>
        </c:manualLayout>
      </c:layout>
      <c:lineChart>
        <c:grouping val="standard"/>
        <c:varyColors val="0"/>
        <c:ser>
          <c:idx val="0"/>
          <c:order val="0"/>
          <c:tx>
            <c:strRef>
              <c:f>'Анализ рентабельности'!$A$12</c:f>
              <c:strCache>
                <c:ptCount val="1"/>
                <c:pt idx="0">
                  <c:v>Маржа чистой прибыли</c:v>
                </c:pt>
              </c:strCache>
            </c:strRef>
          </c:tx>
          <c:cat>
            <c:numRef>
              <c:f>'Анализ рентабельности'!$C$2:$G$2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'Анализ рентабельности'!$C$12:$G$12</c:f>
              <c:numCache>
                <c:formatCode>0%</c:formatCode>
                <c:ptCount val="5"/>
                <c:pt idx="0">
                  <c:v>0.38952119371018623</c:v>
                </c:pt>
                <c:pt idx="1">
                  <c:v>0.35909584326420996</c:v>
                </c:pt>
                <c:pt idx="2">
                  <c:v>0.36221699500987892</c:v>
                </c:pt>
                <c:pt idx="3">
                  <c:v>0.42771890671617829</c:v>
                </c:pt>
                <c:pt idx="4">
                  <c:v>0.37087959406782939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'Анализ рентабельности'!$A$17</c:f>
              <c:strCache>
                <c:ptCount val="1"/>
                <c:pt idx="0">
                  <c:v>Рентабельность продаж (маржа EBIT)</c:v>
                </c:pt>
              </c:strCache>
            </c:strRef>
          </c:tx>
          <c:cat>
            <c:numRef>
              <c:f>'Анализ рентабельности'!$C$2:$G$2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'Анализ рентабельности'!$C$17:$G$17</c:f>
              <c:numCache>
                <c:formatCode>0%</c:formatCode>
                <c:ptCount val="5"/>
                <c:pt idx="0">
                  <c:v>0.48482432765601297</c:v>
                </c:pt>
                <c:pt idx="1">
                  <c:v>0.42216031430613432</c:v>
                </c:pt>
                <c:pt idx="2">
                  <c:v>0.45277593046231934</c:v>
                </c:pt>
                <c:pt idx="3">
                  <c:v>0.50713064045951795</c:v>
                </c:pt>
                <c:pt idx="4">
                  <c:v>0.46370832534616735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'Анализ рентабельности'!$A$24</c:f>
              <c:strCache>
                <c:ptCount val="1"/>
                <c:pt idx="0">
                  <c:v>Маржа EBITDA</c:v>
                </c:pt>
              </c:strCache>
            </c:strRef>
          </c:tx>
          <c:cat>
            <c:numRef>
              <c:f>'Анализ рентабельности'!$C$2:$G$2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'Анализ рентабельности'!$C$24:$G$24</c:f>
              <c:numCache>
                <c:formatCode>0%</c:formatCode>
                <c:ptCount val="5"/>
                <c:pt idx="0">
                  <c:v>0.48482656800159474</c:v>
                </c:pt>
                <c:pt idx="1">
                  <c:v>0.422161055714385</c:v>
                </c:pt>
                <c:pt idx="2">
                  <c:v>0.45278222082916769</c:v>
                </c:pt>
                <c:pt idx="3">
                  <c:v>0.50721723209980363</c:v>
                </c:pt>
                <c:pt idx="4">
                  <c:v>0.46378222676693759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65664"/>
        <c:axId val="235866056"/>
      </c:lineChart>
      <c:catAx>
        <c:axId val="23586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5866056"/>
        <c:crosses val="autoZero"/>
        <c:auto val="1"/>
        <c:lblAlgn val="ctr"/>
        <c:lblOffset val="100"/>
        <c:noMultiLvlLbl val="0"/>
      </c:catAx>
      <c:valAx>
        <c:axId val="2358660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5865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943066899246291"/>
          <c:y val="0.76354550108481034"/>
          <c:w val="0.74628062796498273"/>
          <c:h val="0.2042820344051420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215624244617"/>
          <c:y val="0.23301258425194149"/>
          <c:w val="0.67721841140724959"/>
          <c:h val="0.47342239340077014"/>
        </c:manualLayout>
      </c:layout>
      <c:lineChart>
        <c:grouping val="standard"/>
        <c:varyColors val="0"/>
        <c:ser>
          <c:idx val="0"/>
          <c:order val="0"/>
          <c:tx>
            <c:v>ROA</c:v>
          </c:tx>
          <c:cat>
            <c:numRef>
              <c:f>'Анализ рентабельности'!$D$2:$G$2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'Анализ рентабельности'!$D$34:$G$34</c:f>
              <c:numCache>
                <c:formatCode>0%</c:formatCode>
                <c:ptCount val="4"/>
                <c:pt idx="0">
                  <c:v>1.2001826254000068</c:v>
                </c:pt>
                <c:pt idx="1">
                  <c:v>1.0782517841705828</c:v>
                </c:pt>
                <c:pt idx="2">
                  <c:v>0.87893402253839592</c:v>
                </c:pt>
                <c:pt idx="3">
                  <c:v>0.55008403079398716</c:v>
                </c:pt>
              </c:numCache>
            </c:numRef>
          </c:val>
          <c:smooth val="0"/>
        </c:ser>
        <c:ser>
          <c:idx val="1"/>
          <c:order val="1"/>
          <c:tx>
            <c:v>ROE</c:v>
          </c:tx>
          <c:cat>
            <c:numRef>
              <c:f>'Анализ рентабельности'!$D$2:$G$2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'Анализ рентабельности'!$D$44:$G$44</c:f>
              <c:numCache>
                <c:formatCode>0%</c:formatCode>
                <c:ptCount val="4"/>
                <c:pt idx="0">
                  <c:v>1.1429307536143487</c:v>
                </c:pt>
                <c:pt idx="1">
                  <c:v>0.86185317641914228</c:v>
                </c:pt>
                <c:pt idx="2">
                  <c:v>0.72033792696242793</c:v>
                </c:pt>
                <c:pt idx="3">
                  <c:v>0.42399028981488651</c:v>
                </c:pt>
              </c:numCache>
            </c:numRef>
          </c:val>
          <c:smooth val="0"/>
        </c:ser>
        <c:ser>
          <c:idx val="2"/>
          <c:order val="2"/>
          <c:tx>
            <c:v>RONA</c:v>
          </c:tx>
          <c:cat>
            <c:numRef>
              <c:f>'Анализ рентабельности'!$D$2:$G$2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'Анализ рентабельности'!$D$39:$G$39</c:f>
              <c:numCache>
                <c:formatCode>0%</c:formatCode>
                <c:ptCount val="4"/>
                <c:pt idx="0">
                  <c:v>1.0515397652624499</c:v>
                </c:pt>
                <c:pt idx="1">
                  <c:v>0.86667196924329859</c:v>
                </c:pt>
                <c:pt idx="2">
                  <c:v>0.72169268703501788</c:v>
                </c:pt>
                <c:pt idx="3">
                  <c:v>0.42418564063947417</c:v>
                </c:pt>
              </c:numCache>
            </c:numRef>
          </c:val>
          <c:smooth val="0"/>
        </c:ser>
        <c:ser>
          <c:idx val="3"/>
          <c:order val="3"/>
          <c:tx>
            <c:v>ROIC</c:v>
          </c:tx>
          <c:cat>
            <c:numRef>
              <c:f>'Анализ рентабельности'!$D$2:$G$2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'Анализ рентабельности'!$D$52:$G$52</c:f>
              <c:numCache>
                <c:formatCode>0%</c:formatCode>
                <c:ptCount val="4"/>
                <c:pt idx="0">
                  <c:v>1.4716461877601879</c:v>
                </c:pt>
                <c:pt idx="1">
                  <c:v>0.86186209758476917</c:v>
                </c:pt>
                <c:pt idx="2">
                  <c:v>0.68326263536466669</c:v>
                </c:pt>
                <c:pt idx="3">
                  <c:v>0.42408982407835571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67624"/>
        <c:axId val="235868016"/>
      </c:lineChart>
      <c:catAx>
        <c:axId val="23586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5868016"/>
        <c:crosses val="autoZero"/>
        <c:auto val="1"/>
        <c:lblAlgn val="ctr"/>
        <c:lblOffset val="100"/>
        <c:noMultiLvlLbl val="0"/>
      </c:catAx>
      <c:valAx>
        <c:axId val="23586801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5867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79372416504619"/>
          <c:y val="0.82109200635634849"/>
          <c:w val="0.68949961214362376"/>
          <c:h val="0.1627389433463670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881765664356068E-2"/>
          <c:y val="0.2109796957551914"/>
          <c:w val="0.64923147681831461"/>
          <c:h val="0.50568149300053811"/>
        </c:manualLayout>
      </c:layout>
      <c:lineChart>
        <c:grouping val="standard"/>
        <c:varyColors val="0"/>
        <c:ser>
          <c:idx val="0"/>
          <c:order val="0"/>
          <c:tx>
            <c:strRef>
              <c:f>'Анализ ликвидности'!$A$7</c:f>
              <c:strCache>
                <c:ptCount val="1"/>
                <c:pt idx="0">
                  <c:v>Коэффициент общей ликвидности</c:v>
                </c:pt>
              </c:strCache>
            </c:strRef>
          </c:tx>
          <c:marker>
            <c:symbol val="none"/>
          </c:marker>
          <c:cat>
            <c:numRef>
              <c:f>'Анализ ликвидности'!$D$2:$G$2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'Анализ ликвидности'!$D$7:$G$7</c:f>
              <c:numCache>
                <c:formatCode>0.00</c:formatCode>
                <c:ptCount val="4"/>
                <c:pt idx="0">
                  <c:v>46.46263221815461</c:v>
                </c:pt>
                <c:pt idx="1">
                  <c:v>-5000315.6704943338</c:v>
                </c:pt>
                <c:pt idx="2">
                  <c:v>-35.218797857961256</c:v>
                </c:pt>
                <c:pt idx="3">
                  <c:v>-26.827804579279828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'Анализ ликвидности'!$A$13</c:f>
              <c:strCache>
                <c:ptCount val="1"/>
                <c:pt idx="0">
                  <c:v>Коэффициент срочной ликвидности</c:v>
                </c:pt>
              </c:strCache>
            </c:strRef>
          </c:tx>
          <c:marker>
            <c:symbol val="none"/>
          </c:marker>
          <c:cat>
            <c:numRef>
              <c:f>'Анализ ликвидности'!$D$2:$G$2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'Анализ ликвидности'!$D$13:$G$13</c:f>
              <c:numCache>
                <c:formatCode>0.00</c:formatCode>
                <c:ptCount val="4"/>
                <c:pt idx="0">
                  <c:v>38.851183024580479</c:v>
                </c:pt>
                <c:pt idx="1">
                  <c:v>-4265123.8817427456</c:v>
                </c:pt>
                <c:pt idx="2">
                  <c:v>-31.716918609876231</c:v>
                </c:pt>
                <c:pt idx="3">
                  <c:v>-24.783815722901604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'Анализ ликвидности'!$A$18</c:f>
              <c:strCache>
                <c:ptCount val="1"/>
                <c:pt idx="0">
                  <c:v>Коэффициент абсолютной ликвидности</c:v>
                </c:pt>
              </c:strCache>
            </c:strRef>
          </c:tx>
          <c:marker>
            <c:symbol val="none"/>
          </c:marker>
          <c:cat>
            <c:numRef>
              <c:f>'Анализ ликвидности'!$D$2:$G$2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'Анализ ликвидности'!$D$18:$G$18</c:f>
              <c:numCache>
                <c:formatCode>0.00</c:formatCode>
                <c:ptCount val="4"/>
                <c:pt idx="0">
                  <c:v>25.09757391250756</c:v>
                </c:pt>
                <c:pt idx="1">
                  <c:v>-2514290.9733179035</c:v>
                </c:pt>
                <c:pt idx="2">
                  <c:v>-20.61995247417293</c:v>
                </c:pt>
                <c:pt idx="3">
                  <c:v>-17.964342885796842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869976"/>
        <c:axId val="235871544"/>
      </c:lineChart>
      <c:catAx>
        <c:axId val="23586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5871544"/>
        <c:crosses val="autoZero"/>
        <c:auto val="1"/>
        <c:lblAlgn val="ctr"/>
        <c:lblOffset val="100"/>
        <c:noMultiLvlLbl val="0"/>
      </c:catAx>
      <c:valAx>
        <c:axId val="23587154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5869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25658213586614"/>
          <c:y val="0.7936855106733951"/>
          <c:w val="0.72622368247134572"/>
          <c:h val="0.16409546329928559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80161863868614"/>
          <c:y val="0.22225590189485581"/>
          <c:w val="0.69767543429288392"/>
          <c:h val="0.5671357496627355"/>
        </c:manualLayout>
      </c:layout>
      <c:lineChart>
        <c:grouping val="standard"/>
        <c:varyColors val="0"/>
        <c:ser>
          <c:idx val="0"/>
          <c:order val="0"/>
          <c:tx>
            <c:strRef>
              <c:f>'Анализ платежеспособности'!$A$7</c:f>
              <c:strCache>
                <c:ptCount val="1"/>
                <c:pt idx="0">
                  <c:v>Коэффициент общей платёжеспособности</c:v>
                </c:pt>
              </c:strCache>
            </c:strRef>
          </c:tx>
          <c:cat>
            <c:numRef>
              <c:f>'Анализ платежеспособности'!$C$2:$G$2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'Анализ платежеспособности'!$C$7:$G$7</c:f>
              <c:numCache>
                <c:formatCode>0.00</c:formatCode>
                <c:ptCount val="5"/>
                <c:pt idx="0">
                  <c:v>0.63893328959714779</c:v>
                </c:pt>
                <c:pt idx="1">
                  <c:v>1.000000310521743</c:v>
                </c:pt>
                <c:pt idx="2">
                  <c:v>1.001199185740679</c:v>
                </c:pt>
                <c:pt idx="3">
                  <c:v>1.0427718648201416</c:v>
                </c:pt>
                <c:pt idx="4">
                  <c:v>1.034387097152941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'Анализ платежеспособности'!$A$17</c:f>
              <c:strCache>
                <c:ptCount val="1"/>
                <c:pt idx="0">
                  <c:v>Коэффициент соотношения собственных и заёмных средств</c:v>
                </c:pt>
              </c:strCache>
            </c:strRef>
          </c:tx>
          <c:cat>
            <c:numRef>
              <c:f>'Анализ платежеспособности'!$C$2:$G$2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'Анализ платежеспособности'!$C$17:$G$17</c:f>
              <c:numCache>
                <c:formatCode>0.00</c:formatCode>
                <c:ptCount val="5"/>
                <c:pt idx="0">
                  <c:v>0.565108621324939</c:v>
                </c:pt>
                <c:pt idx="1">
                  <c:v>-3.1052164652188388E-7</c:v>
                </c:pt>
                <c:pt idx="2">
                  <c:v>-1.5432904569019038E-7</c:v>
                </c:pt>
                <c:pt idx="3">
                  <c:v>-4.0454172770923259E-2</c:v>
                </c:pt>
                <c:pt idx="4">
                  <c:v>-3.2877694153918287E-2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84272"/>
        <c:axId val="192684664"/>
      </c:lineChart>
      <c:catAx>
        <c:axId val="19268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92684664"/>
        <c:crosses val="autoZero"/>
        <c:auto val="1"/>
        <c:lblAlgn val="ctr"/>
        <c:lblOffset val="100"/>
        <c:noMultiLvlLbl val="0"/>
      </c:catAx>
      <c:valAx>
        <c:axId val="19268466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92684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16459512808833"/>
          <c:y val="0.83154371660989201"/>
          <c:w val="0.7245090128196785"/>
          <c:h val="0.15711211630461075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9004610995723"/>
          <c:y val="0.16290776657147807"/>
          <c:w val="0.78924819192496265"/>
          <c:h val="0.52130485302872975"/>
        </c:manualLayout>
      </c:layout>
      <c:barChart>
        <c:barDir val="col"/>
        <c:grouping val="stacked"/>
        <c:varyColors val="0"/>
        <c:ser>
          <c:idx val="0"/>
          <c:order val="0"/>
          <c:tx>
            <c:v>Оборачиваемость запасов</c:v>
          </c:tx>
          <c:invertIfNegative val="0"/>
          <c:cat>
            <c:numRef>
              <c:f>'Анализ оборачиваемости'!$D$2:$G$2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'Анализ оборачиваемости'!$D$40:$G$40</c:f>
              <c:numCache>
                <c:formatCode>0.00</c:formatCode>
                <c:ptCount val="4"/>
                <c:pt idx="0">
                  <c:v>39.116042011922829</c:v>
                </c:pt>
                <c:pt idx="1">
                  <c:v>43.039956863868376</c:v>
                </c:pt>
                <c:pt idx="2">
                  <c:v>44.010628380689468</c:v>
                </c:pt>
                <c:pt idx="3">
                  <c:v>45.02578279334395</c:v>
                </c:pt>
              </c:numCache>
            </c:numRef>
          </c:val>
        </c:ser>
        <c:ser>
          <c:idx val="1"/>
          <c:order val="1"/>
          <c:tx>
            <c:v>Оборачиваемость дебиторской задолженности</c:v>
          </c:tx>
          <c:invertIfNegative val="0"/>
          <c:cat>
            <c:numRef>
              <c:f>'Анализ оборачиваемости'!$D$2:$G$2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'Анализ оборачиваемости'!$D$41:$G$41</c:f>
              <c:numCache>
                <c:formatCode>0.00</c:formatCode>
                <c:ptCount val="4"/>
                <c:pt idx="0">
                  <c:v>14.970705823238461</c:v>
                </c:pt>
                <c:pt idx="1">
                  <c:v>39.402549731139231</c:v>
                </c:pt>
                <c:pt idx="2">
                  <c:v>57.406344169167895</c:v>
                </c:pt>
                <c:pt idx="3">
                  <c:v>68.366978864447887</c:v>
                </c:pt>
              </c:numCache>
            </c:numRef>
          </c:val>
        </c:ser>
        <c:ser>
          <c:idx val="2"/>
          <c:order val="2"/>
          <c:tx>
            <c:v>Оборачиваемость кредиторской задолженности</c:v>
          </c:tx>
          <c:invertIfNegative val="0"/>
          <c:cat>
            <c:numRef>
              <c:f>'Анализ оборачиваемости'!$D$2:$G$2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'Анализ оборачиваемости'!$D$42:$G$42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685840"/>
        <c:axId val="192686624"/>
      </c:barChart>
      <c:lineChart>
        <c:grouping val="standard"/>
        <c:varyColors val="0"/>
        <c:ser>
          <c:idx val="3"/>
          <c:order val="3"/>
          <c:tx>
            <c:v>Операционный цикл</c:v>
          </c:tx>
          <c:marker>
            <c:symbol val="circle"/>
            <c:size val="5"/>
          </c:marker>
          <c:dLbls>
            <c:dLbl>
              <c:idx val="0"/>
              <c:layout>
                <c:manualLayout>
                  <c:x val="-4.7222187557466655E-2"/>
                  <c:y val="-3.06397649909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4444481071355998E-2"/>
                  <c:y val="-3.989152965199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1666666666666664E-2"/>
                  <c:y val="-4.16326557372749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4444481071355894E-2"/>
                  <c:y val="-3.815036900022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'Анализ оборачиваемости'!$D$2:$G$2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'Анализ оборачиваемости'!$D$43:$G$43</c:f>
              <c:numCache>
                <c:formatCode>0</c:formatCode>
                <c:ptCount val="4"/>
                <c:pt idx="0">
                  <c:v>54.08674783516129</c:v>
                </c:pt>
                <c:pt idx="1">
                  <c:v>82.442506595007615</c:v>
                </c:pt>
                <c:pt idx="2">
                  <c:v>101.41697254985736</c:v>
                </c:pt>
                <c:pt idx="3">
                  <c:v>113.39276165779184</c:v>
                </c:pt>
              </c:numCache>
            </c:numRef>
          </c:val>
          <c:smooth val="0"/>
        </c:ser>
        <c:ser>
          <c:idx val="4"/>
          <c:order val="4"/>
          <c:tx>
            <c:v>Финансовый цикл</c:v>
          </c:tx>
          <c:marker>
            <c:symbol val="square"/>
            <c:size val="5"/>
          </c:marker>
          <c:dLbls>
            <c:dLbl>
              <c:idx val="0"/>
              <c:layout>
                <c:manualLayout>
                  <c:x val="-4.1667010043962498E-2"/>
                  <c:y val="3.46677970256885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4444481071355998E-2"/>
                  <c:y val="2.8599804526767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4444481071355998E-2"/>
                  <c:y val="3.00419146951602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722218755746653E-2"/>
                  <c:y val="3.5265647321467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'Анализ оборачиваемости'!$D$2:$G$2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'Анализ оборачиваемости'!$D$44:$G$44</c:f>
              <c:numCache>
                <c:formatCode>0</c:formatCode>
                <c:ptCount val="4"/>
                <c:pt idx="0">
                  <c:v>54.08674783516129</c:v>
                </c:pt>
                <c:pt idx="1">
                  <c:v>82.442506595007615</c:v>
                </c:pt>
                <c:pt idx="2">
                  <c:v>101.41697254985736</c:v>
                </c:pt>
                <c:pt idx="3">
                  <c:v>113.39276165779184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85840"/>
        <c:axId val="192686624"/>
      </c:lineChart>
      <c:catAx>
        <c:axId val="19268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92686624"/>
        <c:crosses val="autoZero"/>
        <c:auto val="1"/>
        <c:lblAlgn val="ctr"/>
        <c:lblOffset val="100"/>
        <c:noMultiLvlLbl val="0"/>
      </c:catAx>
      <c:valAx>
        <c:axId val="19268662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92685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0581812017375"/>
          <c:y val="0.72932560513269173"/>
          <c:w val="0.59241849779913369"/>
          <c:h val="0.2230582288325071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85089942467647E-2"/>
          <c:y val="0.15597344795757037"/>
          <c:w val="0.83956580948220882"/>
          <c:h val="0.59581857119791848"/>
        </c:manualLayout>
      </c:layout>
      <c:lineChart>
        <c:grouping val="standard"/>
        <c:varyColors val="0"/>
        <c:ser>
          <c:idx val="0"/>
          <c:order val="0"/>
          <c:tx>
            <c:strRef>
              <c:f>Окружение!$B$19</c:f>
              <c:strCache>
                <c:ptCount val="1"/>
                <c:pt idx="0">
                  <c:v>Требуемая норма доходности</c:v>
                </c:pt>
              </c:strCache>
            </c:strRef>
          </c:tx>
          <c:marker>
            <c:symbol val="none"/>
          </c:marker>
          <c:cat>
            <c:strRef>
              <c:f>'Финан-е'!$E$2:$X$2</c:f>
              <c:strCache>
                <c:ptCount val="20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5 кв.</c:v>
                </c:pt>
                <c:pt idx="5">
                  <c:v>6 кв.</c:v>
                </c:pt>
                <c:pt idx="6">
                  <c:v>7 кв.</c:v>
                </c:pt>
                <c:pt idx="7">
                  <c:v>8 кв.</c:v>
                </c:pt>
                <c:pt idx="8">
                  <c:v>9 кв.</c:v>
                </c:pt>
                <c:pt idx="9">
                  <c:v>10 кв.</c:v>
                </c:pt>
                <c:pt idx="10">
                  <c:v>11 кв.</c:v>
                </c:pt>
                <c:pt idx="11">
                  <c:v>12 кв.</c:v>
                </c:pt>
                <c:pt idx="12">
                  <c:v>13 кв.</c:v>
                </c:pt>
                <c:pt idx="13">
                  <c:v>14 кв.</c:v>
                </c:pt>
                <c:pt idx="14">
                  <c:v>15 кв.</c:v>
                </c:pt>
                <c:pt idx="15">
                  <c:v>16 кв.</c:v>
                </c:pt>
                <c:pt idx="16">
                  <c:v>17 кв.</c:v>
                </c:pt>
                <c:pt idx="17">
                  <c:v>18 кв.</c:v>
                </c:pt>
                <c:pt idx="18">
                  <c:v>19 кв.</c:v>
                </c:pt>
                <c:pt idx="19">
                  <c:v>20 кв.</c:v>
                </c:pt>
              </c:strCache>
            </c:strRef>
          </c:cat>
          <c:val>
            <c:numRef>
              <c:f>Окружение!$D$20:$W$20</c:f>
              <c:numCache>
                <c:formatCode>0.0%</c:formatCode>
                <c:ptCount val="20"/>
                <c:pt idx="0">
                  <c:v>8.7757305937277152E-2</c:v>
                </c:pt>
                <c:pt idx="1">
                  <c:v>8.7757305937277152E-2</c:v>
                </c:pt>
                <c:pt idx="2">
                  <c:v>8.7757305937277152E-2</c:v>
                </c:pt>
                <c:pt idx="3">
                  <c:v>8.7757305937277152E-2</c:v>
                </c:pt>
                <c:pt idx="4">
                  <c:v>8.7757305937277152E-2</c:v>
                </c:pt>
                <c:pt idx="5">
                  <c:v>8.7757305937277152E-2</c:v>
                </c:pt>
                <c:pt idx="6">
                  <c:v>8.7757305937277152E-2</c:v>
                </c:pt>
                <c:pt idx="7">
                  <c:v>8.7757305937277152E-2</c:v>
                </c:pt>
                <c:pt idx="8">
                  <c:v>8.7757305937277152E-2</c:v>
                </c:pt>
                <c:pt idx="9">
                  <c:v>8.7757305937277152E-2</c:v>
                </c:pt>
                <c:pt idx="10">
                  <c:v>8.7757305937277152E-2</c:v>
                </c:pt>
                <c:pt idx="11">
                  <c:v>8.7757305937277152E-2</c:v>
                </c:pt>
                <c:pt idx="12">
                  <c:v>8.7757305937277152E-2</c:v>
                </c:pt>
                <c:pt idx="13">
                  <c:v>8.7757305937277152E-2</c:v>
                </c:pt>
                <c:pt idx="14">
                  <c:v>8.7757305937277152E-2</c:v>
                </c:pt>
                <c:pt idx="15">
                  <c:v>8.7757305937277152E-2</c:v>
                </c:pt>
                <c:pt idx="16">
                  <c:v>8.7757305937277152E-2</c:v>
                </c:pt>
                <c:pt idx="17">
                  <c:v>8.7757305937277152E-2</c:v>
                </c:pt>
                <c:pt idx="18">
                  <c:v>8.7757305937277152E-2</c:v>
                </c:pt>
                <c:pt idx="19">
                  <c:v>8.7757305937277152E-2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'Финан-е'!$B$76</c:f>
              <c:strCache>
                <c:ptCount val="1"/>
                <c:pt idx="0">
                  <c:v>WACC</c:v>
                </c:pt>
              </c:strCache>
            </c:strRef>
          </c:tx>
          <c:marker>
            <c:symbol val="none"/>
          </c:marker>
          <c:cat>
            <c:strRef>
              <c:f>'Финан-е'!$E$2:$X$2</c:f>
              <c:strCache>
                <c:ptCount val="20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5 кв.</c:v>
                </c:pt>
                <c:pt idx="5">
                  <c:v>6 кв.</c:v>
                </c:pt>
                <c:pt idx="6">
                  <c:v>7 кв.</c:v>
                </c:pt>
                <c:pt idx="7">
                  <c:v>8 кв.</c:v>
                </c:pt>
                <c:pt idx="8">
                  <c:v>9 кв.</c:v>
                </c:pt>
                <c:pt idx="9">
                  <c:v>10 кв.</c:v>
                </c:pt>
                <c:pt idx="10">
                  <c:v>11 кв.</c:v>
                </c:pt>
                <c:pt idx="11">
                  <c:v>12 кв.</c:v>
                </c:pt>
                <c:pt idx="12">
                  <c:v>13 кв.</c:v>
                </c:pt>
                <c:pt idx="13">
                  <c:v>14 кв.</c:v>
                </c:pt>
                <c:pt idx="14">
                  <c:v>15 кв.</c:v>
                </c:pt>
                <c:pt idx="15">
                  <c:v>16 кв.</c:v>
                </c:pt>
                <c:pt idx="16">
                  <c:v>17 кв.</c:v>
                </c:pt>
                <c:pt idx="17">
                  <c:v>18 кв.</c:v>
                </c:pt>
                <c:pt idx="18">
                  <c:v>19 кв.</c:v>
                </c:pt>
                <c:pt idx="19">
                  <c:v>20 кв.</c:v>
                </c:pt>
              </c:strCache>
            </c:strRef>
          </c:cat>
          <c:val>
            <c:numRef>
              <c:f>'Финан-е'!$E$76:$X$76</c:f>
              <c:numCache>
                <c:formatCode>0.00%</c:formatCode>
                <c:ptCount val="20"/>
                <c:pt idx="0">
                  <c:v>4.8386415680788372E-2</c:v>
                </c:pt>
                <c:pt idx="1">
                  <c:v>4.8258965923318589E-2</c:v>
                </c:pt>
                <c:pt idx="2">
                  <c:v>4.8137669845721438E-2</c:v>
                </c:pt>
                <c:pt idx="3">
                  <c:v>4.8022267657039958E-2</c:v>
                </c:pt>
                <c:pt idx="4">
                  <c:v>4.7912506746142502E-2</c:v>
                </c:pt>
                <c:pt idx="5">
                  <c:v>4.9308467646289253E-2</c:v>
                </c:pt>
                <c:pt idx="6">
                  <c:v>5.5601338463696699E-2</c:v>
                </c:pt>
                <c:pt idx="7">
                  <c:v>8.7759077054726783E-2</c:v>
                </c:pt>
                <c:pt idx="8">
                  <c:v>8.7759137417701569E-2</c:v>
                </c:pt>
                <c:pt idx="9">
                  <c:v>8.775924249436616E-2</c:v>
                </c:pt>
                <c:pt idx="10">
                  <c:v>8.7759309468022614E-2</c:v>
                </c:pt>
                <c:pt idx="11">
                  <c:v>8.7759424415887605E-2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02072"/>
        <c:axId val="191903640"/>
      </c:lineChart>
      <c:catAx>
        <c:axId val="19190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91903640"/>
        <c:crosses val="autoZero"/>
        <c:auto val="1"/>
        <c:lblAlgn val="ctr"/>
        <c:lblOffset val="100"/>
        <c:noMultiLvlLbl val="0"/>
      </c:catAx>
      <c:valAx>
        <c:axId val="19190364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91902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10584263923531299"/>
          <c:y val="0.88280983609037367"/>
          <c:w val="0.74986844035799871"/>
          <c:h val="0.97327433494444315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704261428762631E-2"/>
          <c:y val="0.29144912939777207"/>
          <c:w val="0.67845751623593897"/>
          <c:h val="0.61133232020020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'Форма 2'!$E$32</c:f>
              <c:strCache>
                <c:ptCount val="1"/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'Форма 2'!$F$31:$J$31</c:f>
              <c:numCache>
                <c:formatCode>General</c:formatCode>
                <c:ptCount val="5"/>
              </c:numCache>
            </c:numRef>
          </c:cat>
          <c:val>
            <c:numRef>
              <c:f>'Форма 2'!$F$32:$J$32</c:f>
              <c:numCache>
                <c:formatCode>0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99720"/>
        <c:axId val="191793664"/>
      </c:barChart>
      <c:catAx>
        <c:axId val="19189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91793664"/>
        <c:crosses val="autoZero"/>
        <c:auto val="1"/>
        <c:lblAlgn val="ctr"/>
        <c:lblOffset val="100"/>
        <c:noMultiLvlLbl val="0"/>
      </c:catAx>
      <c:valAx>
        <c:axId val="1917936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91899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5806321084864392"/>
          <c:y val="0.3447630888244233"/>
          <c:w val="0.96612357830271212"/>
          <c:h val="0.82103363724271328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0664222318263"/>
          <c:y val="0.19235704508506371"/>
          <c:w val="0.8004381927833002"/>
          <c:h val="0.57424235518041067"/>
        </c:manualLayout>
      </c:layout>
      <c:lineChart>
        <c:grouping val="standard"/>
        <c:varyColors val="0"/>
        <c:ser>
          <c:idx val="0"/>
          <c:order val="0"/>
          <c:tx>
            <c:v>Запас прочности, %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'Анализ проекта'!$G$2:$Z$2</c:f>
              <c:strCache>
                <c:ptCount val="20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5 кв.</c:v>
                </c:pt>
                <c:pt idx="5">
                  <c:v>6 кв.</c:v>
                </c:pt>
                <c:pt idx="6">
                  <c:v>7 кв.</c:v>
                </c:pt>
                <c:pt idx="7">
                  <c:v>8 кв.</c:v>
                </c:pt>
                <c:pt idx="8">
                  <c:v>9 кв.</c:v>
                </c:pt>
                <c:pt idx="9">
                  <c:v>10 кв.</c:v>
                </c:pt>
                <c:pt idx="10">
                  <c:v>11 кв.</c:v>
                </c:pt>
                <c:pt idx="11">
                  <c:v>12 кв.</c:v>
                </c:pt>
                <c:pt idx="12">
                  <c:v>13 кв.</c:v>
                </c:pt>
                <c:pt idx="13">
                  <c:v>14 кв.</c:v>
                </c:pt>
                <c:pt idx="14">
                  <c:v>15 кв.</c:v>
                </c:pt>
                <c:pt idx="15">
                  <c:v>16 кв.</c:v>
                </c:pt>
                <c:pt idx="16">
                  <c:v>17 кв.</c:v>
                </c:pt>
                <c:pt idx="17">
                  <c:v>18 кв.</c:v>
                </c:pt>
                <c:pt idx="18">
                  <c:v>19 кв.</c:v>
                </c:pt>
                <c:pt idx="19">
                  <c:v>20 кв.</c:v>
                </c:pt>
              </c:strCache>
            </c:strRef>
          </c:cat>
          <c:val>
            <c:numRef>
              <c:f>'Анализ проекта'!$G$49:$Z$49</c:f>
              <c:numCache>
                <c:formatCode>0.0%</c:formatCode>
                <c:ptCount val="20"/>
                <c:pt idx="0">
                  <c:v>12.265677669347951</c:v>
                </c:pt>
                <c:pt idx="1">
                  <c:v>19.596327955993868</c:v>
                </c:pt>
                <c:pt idx="2">
                  <c:v>29.048714669426442</c:v>
                </c:pt>
                <c:pt idx="3">
                  <c:v>36.838659738436434</c:v>
                </c:pt>
                <c:pt idx="4">
                  <c:v>39.236864882737891</c:v>
                </c:pt>
                <c:pt idx="5">
                  <c:v>48.860242665691239</c:v>
                </c:pt>
                <c:pt idx="6">
                  <c:v>68.172827954691499</c:v>
                </c:pt>
                <c:pt idx="7">
                  <c:v>83.851870779192922</c:v>
                </c:pt>
                <c:pt idx="8">
                  <c:v>100.4216892853939</c:v>
                </c:pt>
                <c:pt idx="9">
                  <c:v>117.12239025247717</c:v>
                </c:pt>
                <c:pt idx="10">
                  <c:v>122.73815791541004</c:v>
                </c:pt>
                <c:pt idx="11">
                  <c:v>135.81910571849264</c:v>
                </c:pt>
                <c:pt idx="12">
                  <c:v>146.4660468470048</c:v>
                </c:pt>
                <c:pt idx="13">
                  <c:v>156.75169325957606</c:v>
                </c:pt>
                <c:pt idx="14">
                  <c:v>169.200326679553</c:v>
                </c:pt>
                <c:pt idx="15">
                  <c:v>185.73701472220401</c:v>
                </c:pt>
                <c:pt idx="16">
                  <c:v>181.455835736983</c:v>
                </c:pt>
                <c:pt idx="17">
                  <c:v>195.73046755424895</c:v>
                </c:pt>
                <c:pt idx="18">
                  <c:v>212.0807493219047</c:v>
                </c:pt>
                <c:pt idx="19">
                  <c:v>226.97748446516698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86232"/>
        <c:axId val="192690544"/>
      </c:lineChart>
      <c:catAx>
        <c:axId val="19268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92690544"/>
        <c:crosses val="autoZero"/>
        <c:auto val="1"/>
        <c:lblAlgn val="ctr"/>
        <c:lblOffset val="100"/>
        <c:noMultiLvlLbl val="0"/>
      </c:catAx>
      <c:valAx>
        <c:axId val="192690544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92686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059380577427824"/>
          <c:y val="0.87692193828251896"/>
          <c:w val="0.38107821522309709"/>
          <c:h val="6.789059983690015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06295478691449"/>
          <c:y val="0.14926319996919693"/>
          <c:w val="0.75819431437199725"/>
          <c:h val="0.60268537346053086"/>
        </c:manualLayout>
      </c:layout>
      <c:lineChart>
        <c:grouping val="standard"/>
        <c:varyColors val="0"/>
        <c:ser>
          <c:idx val="0"/>
          <c:order val="0"/>
          <c:tx>
            <c:v>Объем производства, шт.</c:v>
          </c:tx>
          <c:marker>
            <c:symbol val="none"/>
          </c:marker>
          <c:cat>
            <c:strRef>
              <c:f>'Анализ проекта'!$G$43:$Z$43</c:f>
              <c:strCache>
                <c:ptCount val="20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5 кв.</c:v>
                </c:pt>
                <c:pt idx="5">
                  <c:v>6 кв.</c:v>
                </c:pt>
                <c:pt idx="6">
                  <c:v>7 кв.</c:v>
                </c:pt>
                <c:pt idx="7">
                  <c:v>8 кв.</c:v>
                </c:pt>
                <c:pt idx="8">
                  <c:v>9 кв.</c:v>
                </c:pt>
                <c:pt idx="9">
                  <c:v>10 кв.</c:v>
                </c:pt>
                <c:pt idx="10">
                  <c:v>11 кв.</c:v>
                </c:pt>
                <c:pt idx="11">
                  <c:v>12 кв.</c:v>
                </c:pt>
                <c:pt idx="12">
                  <c:v>13 кв.</c:v>
                </c:pt>
                <c:pt idx="13">
                  <c:v>14 кв.</c:v>
                </c:pt>
                <c:pt idx="14">
                  <c:v>15 кв.</c:v>
                </c:pt>
                <c:pt idx="15">
                  <c:v>16 кв.</c:v>
                </c:pt>
                <c:pt idx="16">
                  <c:v>17 кв.</c:v>
                </c:pt>
                <c:pt idx="17">
                  <c:v>18 кв.</c:v>
                </c:pt>
                <c:pt idx="18">
                  <c:v>19 кв.</c:v>
                </c:pt>
                <c:pt idx="19">
                  <c:v>20 кв.</c:v>
                </c:pt>
              </c:strCache>
            </c:strRef>
          </c:cat>
          <c:val>
            <c:numRef>
              <c:f>'Анализ проекта'!$G$33:$Z$33</c:f>
              <c:numCache>
                <c:formatCode>#,##0</c:formatCode>
                <c:ptCount val="20"/>
                <c:pt idx="0">
                  <c:v>3076.9230769230767</c:v>
                </c:pt>
                <c:pt idx="1">
                  <c:v>10769.23076923077</c:v>
                </c:pt>
                <c:pt idx="2">
                  <c:v>20000</c:v>
                </c:pt>
                <c:pt idx="3">
                  <c:v>30769.23076923077</c:v>
                </c:pt>
                <c:pt idx="4">
                  <c:v>34615.384615384617</c:v>
                </c:pt>
                <c:pt idx="5">
                  <c:v>39230.769230769227</c:v>
                </c:pt>
                <c:pt idx="6">
                  <c:v>46923.076923076922</c:v>
                </c:pt>
                <c:pt idx="7">
                  <c:v>53076.923076923078</c:v>
                </c:pt>
                <c:pt idx="8">
                  <c:v>65384.615384615383</c:v>
                </c:pt>
                <c:pt idx="9">
                  <c:v>76923.076923076922</c:v>
                </c:pt>
                <c:pt idx="10">
                  <c:v>86153.846153846156</c:v>
                </c:pt>
                <c:pt idx="11">
                  <c:v>96153.846153846156</c:v>
                </c:pt>
                <c:pt idx="12">
                  <c:v>108461.53846153845</c:v>
                </c:pt>
                <c:pt idx="13">
                  <c:v>122307.6923076923</c:v>
                </c:pt>
                <c:pt idx="14">
                  <c:v>144615.38461538462</c:v>
                </c:pt>
                <c:pt idx="15">
                  <c:v>153846.15384615384</c:v>
                </c:pt>
                <c:pt idx="16">
                  <c:v>108461.53846153845</c:v>
                </c:pt>
                <c:pt idx="17">
                  <c:v>122307.6923076923</c:v>
                </c:pt>
                <c:pt idx="18">
                  <c:v>144615.38461538462</c:v>
                </c:pt>
                <c:pt idx="19">
                  <c:v>153846.15384615384</c:v>
                </c:pt>
              </c:numCache>
            </c:numRef>
          </c:val>
          <c:smooth val="0"/>
        </c:ser>
        <c:ser>
          <c:idx val="1"/>
          <c:order val="1"/>
          <c:tx>
            <c:v>Точка безубыточности, шт.</c:v>
          </c:tx>
          <c:marker>
            <c:symbol val="none"/>
          </c:marker>
          <c:cat>
            <c:strRef>
              <c:f>'Анализ проекта'!$G$43:$Z$43</c:f>
              <c:strCache>
                <c:ptCount val="20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5 кв.</c:v>
                </c:pt>
                <c:pt idx="5">
                  <c:v>6 кв.</c:v>
                </c:pt>
                <c:pt idx="6">
                  <c:v>7 кв.</c:v>
                </c:pt>
                <c:pt idx="7">
                  <c:v>8 кв.</c:v>
                </c:pt>
                <c:pt idx="8">
                  <c:v>9 кв.</c:v>
                </c:pt>
                <c:pt idx="9">
                  <c:v>10 кв.</c:v>
                </c:pt>
                <c:pt idx="10">
                  <c:v>11 кв.</c:v>
                </c:pt>
                <c:pt idx="11">
                  <c:v>12 кв.</c:v>
                </c:pt>
                <c:pt idx="12">
                  <c:v>13 кв.</c:v>
                </c:pt>
                <c:pt idx="13">
                  <c:v>14 кв.</c:v>
                </c:pt>
                <c:pt idx="14">
                  <c:v>15 кв.</c:v>
                </c:pt>
                <c:pt idx="15">
                  <c:v>16 кв.</c:v>
                </c:pt>
                <c:pt idx="16">
                  <c:v>17 кв.</c:v>
                </c:pt>
                <c:pt idx="17">
                  <c:v>18 кв.</c:v>
                </c:pt>
                <c:pt idx="18">
                  <c:v>19 кв.</c:v>
                </c:pt>
                <c:pt idx="19">
                  <c:v>20 кв.</c:v>
                </c:pt>
              </c:strCache>
            </c:strRef>
          </c:cat>
          <c:val>
            <c:numRef>
              <c:f>'Анализ проекта'!$G$45:$Z$45</c:f>
              <c:numCache>
                <c:formatCode>#,##0</c:formatCode>
                <c:ptCount val="20"/>
                <c:pt idx="0">
                  <c:v>231.94616616026349</c:v>
                </c:pt>
                <c:pt idx="1">
                  <c:v>522.8713968936753</c:v>
                </c:pt>
                <c:pt idx="2">
                  <c:v>665.58587347329467</c:v>
                </c:pt>
                <c:pt idx="3">
                  <c:v>813.16914980409433</c:v>
                </c:pt>
                <c:pt idx="4">
                  <c:v>860.29030135086498</c:v>
                </c:pt>
                <c:pt idx="5">
                  <c:v>786.81464696849264</c:v>
                </c:pt>
                <c:pt idx="6">
                  <c:v>678.34550517165121</c:v>
                </c:pt>
                <c:pt idx="7">
                  <c:v>625.52448861196365</c:v>
                </c:pt>
                <c:pt idx="8">
                  <c:v>644.68079604380694</c:v>
                </c:pt>
                <c:pt idx="9">
                  <c:v>651.21503856008997</c:v>
                </c:pt>
                <c:pt idx="10">
                  <c:v>696.2593237628663</c:v>
                </c:pt>
                <c:pt idx="11">
                  <c:v>702.78084079634414</c:v>
                </c:pt>
                <c:pt idx="12">
                  <c:v>735.50176993668708</c:v>
                </c:pt>
                <c:pt idx="13">
                  <c:v>775.31777808836807</c:v>
                </c:pt>
                <c:pt idx="14">
                  <c:v>849.67747968933816</c:v>
                </c:pt>
                <c:pt idx="15">
                  <c:v>823.86533850838475</c:v>
                </c:pt>
                <c:pt idx="16">
                  <c:v>594.45365517324353</c:v>
                </c:pt>
                <c:pt idx="17">
                  <c:v>621.70183311319397</c:v>
                </c:pt>
                <c:pt idx="18">
                  <c:v>678.68817373507409</c:v>
                </c:pt>
                <c:pt idx="19">
                  <c:v>674.83047375084197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83488"/>
        <c:axId val="192687016"/>
      </c:lineChart>
      <c:catAx>
        <c:axId val="19268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92687016"/>
        <c:crosses val="autoZero"/>
        <c:auto val="1"/>
        <c:lblAlgn val="ctr"/>
        <c:lblOffset val="100"/>
        <c:noMultiLvlLbl val="0"/>
      </c:catAx>
      <c:valAx>
        <c:axId val="1926870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92683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818004230952613"/>
          <c:y val="0.88149777622444714"/>
          <c:w val="0.68605850194651574"/>
          <c:h val="6.1958430130959474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778184308"/>
          <c:y val="0.14644691317732531"/>
          <c:w val="0.72272019347262817"/>
          <c:h val="0.6167668074198891"/>
        </c:manualLayout>
      </c:layout>
      <c:lineChart>
        <c:grouping val="standard"/>
        <c:varyColors val="0"/>
        <c:ser>
          <c:idx val="0"/>
          <c:order val="0"/>
          <c:tx>
            <c:v>Объем производства, шт.</c:v>
          </c:tx>
          <c:marker>
            <c:symbol val="none"/>
          </c:marker>
          <c:cat>
            <c:strRef>
              <c:f>'Анализ проекта'!$G$43:$Z$43</c:f>
              <c:strCache>
                <c:ptCount val="20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5 кв.</c:v>
                </c:pt>
                <c:pt idx="5">
                  <c:v>6 кв.</c:v>
                </c:pt>
                <c:pt idx="6">
                  <c:v>7 кв.</c:v>
                </c:pt>
                <c:pt idx="7">
                  <c:v>8 кв.</c:v>
                </c:pt>
                <c:pt idx="8">
                  <c:v>9 кв.</c:v>
                </c:pt>
                <c:pt idx="9">
                  <c:v>10 кв.</c:v>
                </c:pt>
                <c:pt idx="10">
                  <c:v>11 кв.</c:v>
                </c:pt>
                <c:pt idx="11">
                  <c:v>12 кв.</c:v>
                </c:pt>
                <c:pt idx="12">
                  <c:v>13 кв.</c:v>
                </c:pt>
                <c:pt idx="13">
                  <c:v>14 кв.</c:v>
                </c:pt>
                <c:pt idx="14">
                  <c:v>15 кв.</c:v>
                </c:pt>
                <c:pt idx="15">
                  <c:v>16 кв.</c:v>
                </c:pt>
                <c:pt idx="16">
                  <c:v>17 кв.</c:v>
                </c:pt>
                <c:pt idx="17">
                  <c:v>18 кв.</c:v>
                </c:pt>
                <c:pt idx="18">
                  <c:v>19 кв.</c:v>
                </c:pt>
                <c:pt idx="19">
                  <c:v>20 кв.</c:v>
                </c:pt>
              </c:strCache>
            </c:strRef>
          </c:cat>
          <c:val>
            <c:numRef>
              <c:f>'Анализ проекта'!$G$38:$Z$38</c:f>
              <c:numCache>
                <c:formatCode>#,##0</c:formatCode>
                <c:ptCount val="20"/>
                <c:pt idx="0">
                  <c:v>38571.428571428572</c:v>
                </c:pt>
                <c:pt idx="1">
                  <c:v>57142.857142857145</c:v>
                </c:pt>
                <c:pt idx="2">
                  <c:v>78571.42857142858</c:v>
                </c:pt>
                <c:pt idx="3">
                  <c:v>92857.14285714287</c:v>
                </c:pt>
                <c:pt idx="4">
                  <c:v>170000</c:v>
                </c:pt>
                <c:pt idx="5">
                  <c:v>220000</c:v>
                </c:pt>
                <c:pt idx="6">
                  <c:v>340000</c:v>
                </c:pt>
                <c:pt idx="7">
                  <c:v>420000</c:v>
                </c:pt>
                <c:pt idx="8">
                  <c:v>490000</c:v>
                </c:pt>
                <c:pt idx="9">
                  <c:v>570000</c:v>
                </c:pt>
                <c:pt idx="10">
                  <c:v>620000</c:v>
                </c:pt>
                <c:pt idx="11">
                  <c:v>680000</c:v>
                </c:pt>
                <c:pt idx="12">
                  <c:v>730000</c:v>
                </c:pt>
                <c:pt idx="13">
                  <c:v>770000</c:v>
                </c:pt>
                <c:pt idx="14">
                  <c:v>810000</c:v>
                </c:pt>
                <c:pt idx="15">
                  <c:v>890000</c:v>
                </c:pt>
                <c:pt idx="16">
                  <c:v>930000</c:v>
                </c:pt>
                <c:pt idx="17">
                  <c:v>990000</c:v>
                </c:pt>
                <c:pt idx="18">
                  <c:v>1050000</c:v>
                </c:pt>
                <c:pt idx="19">
                  <c:v>1120000</c:v>
                </c:pt>
              </c:numCache>
            </c:numRef>
          </c:val>
          <c:smooth val="0"/>
        </c:ser>
        <c:ser>
          <c:idx val="1"/>
          <c:order val="1"/>
          <c:tx>
            <c:v>Точка безубыточности, шт.</c:v>
          </c:tx>
          <c:marker>
            <c:symbol val="none"/>
          </c:marker>
          <c:cat>
            <c:strRef>
              <c:f>'Анализ проекта'!$G$43:$Z$43</c:f>
              <c:strCache>
                <c:ptCount val="20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5 кв.</c:v>
                </c:pt>
                <c:pt idx="5">
                  <c:v>6 кв.</c:v>
                </c:pt>
                <c:pt idx="6">
                  <c:v>7 кв.</c:v>
                </c:pt>
                <c:pt idx="7">
                  <c:v>8 кв.</c:v>
                </c:pt>
                <c:pt idx="8">
                  <c:v>9 кв.</c:v>
                </c:pt>
                <c:pt idx="9">
                  <c:v>10 кв.</c:v>
                </c:pt>
                <c:pt idx="10">
                  <c:v>11 кв.</c:v>
                </c:pt>
                <c:pt idx="11">
                  <c:v>12 кв.</c:v>
                </c:pt>
                <c:pt idx="12">
                  <c:v>13 кв.</c:v>
                </c:pt>
                <c:pt idx="13">
                  <c:v>14 кв.</c:v>
                </c:pt>
                <c:pt idx="14">
                  <c:v>15 кв.</c:v>
                </c:pt>
                <c:pt idx="15">
                  <c:v>16 кв.</c:v>
                </c:pt>
                <c:pt idx="16">
                  <c:v>17 кв.</c:v>
                </c:pt>
                <c:pt idx="17">
                  <c:v>18 кв.</c:v>
                </c:pt>
                <c:pt idx="18">
                  <c:v>19 кв.</c:v>
                </c:pt>
                <c:pt idx="19">
                  <c:v>20 кв.</c:v>
                </c:pt>
              </c:strCache>
            </c:strRef>
          </c:cat>
          <c:val>
            <c:numRef>
              <c:f>'Анализ проекта'!$G$51:$Z$51</c:f>
              <c:numCache>
                <c:formatCode>#,##0</c:formatCode>
                <c:ptCount val="20"/>
                <c:pt idx="0">
                  <c:v>30137.742308466612</c:v>
                </c:pt>
                <c:pt idx="1">
                  <c:v>25556.358121960737</c:v>
                </c:pt>
                <c:pt idx="2">
                  <c:v>24369.649233354343</c:v>
                </c:pt>
                <c:pt idx="3">
                  <c:v>22687.67248979229</c:v>
                </c:pt>
                <c:pt idx="4">
                  <c:v>40269.73083376998</c:v>
                </c:pt>
                <c:pt idx="5">
                  <c:v>41744.542306647621</c:v>
                </c:pt>
                <c:pt idx="6">
                  <c:v>42970.390975123257</c:v>
                </c:pt>
                <c:pt idx="7">
                  <c:v>42765.230416201957</c:v>
                </c:pt>
                <c:pt idx="8">
                  <c:v>42102.379568180841</c:v>
                </c:pt>
                <c:pt idx="9">
                  <c:v>41216.790426268359</c:v>
                </c:pt>
                <c:pt idx="10">
                  <c:v>42944.739900760018</c:v>
                </c:pt>
                <c:pt idx="11">
                  <c:v>43099.894644708118</c:v>
                </c:pt>
                <c:pt idx="12">
                  <c:v>43068.060716557513</c:v>
                </c:pt>
                <c:pt idx="13">
                  <c:v>42653.446894710658</c:v>
                </c:pt>
                <c:pt idx="14">
                  <c:v>41856.072210718354</c:v>
                </c:pt>
                <c:pt idx="15">
                  <c:v>41915.91259143639</c:v>
                </c:pt>
                <c:pt idx="16">
                  <c:v>43959.280495056119</c:v>
                </c:pt>
                <c:pt idx="17">
                  <c:v>43446.02829417491</c:v>
                </c:pt>
                <c:pt idx="18">
                  <c:v>42693.867099577823</c:v>
                </c:pt>
                <c:pt idx="19">
                  <c:v>42906.883562746203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87408"/>
        <c:axId val="192688976"/>
      </c:lineChart>
      <c:catAx>
        <c:axId val="19268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92688976"/>
        <c:crosses val="autoZero"/>
        <c:auto val="1"/>
        <c:lblAlgn val="ctr"/>
        <c:lblOffset val="100"/>
        <c:noMultiLvlLbl val="0"/>
      </c:catAx>
      <c:valAx>
        <c:axId val="192688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92687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912366326110068"/>
          <c:y val="0.88149783090585188"/>
          <c:w val="0.71377562308843656"/>
          <c:h val="8.16724463846165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01847435337425"/>
          <c:y val="0.15983064819015011"/>
          <c:w val="0.76780804798800306"/>
          <c:h val="0.61078140558378802"/>
        </c:manualLayout>
      </c:layout>
      <c:lineChart>
        <c:grouping val="standard"/>
        <c:varyColors val="0"/>
        <c:ser>
          <c:idx val="0"/>
          <c:order val="0"/>
          <c:tx>
            <c:v>Запас прочности, %</c:v>
          </c:tx>
          <c:marker>
            <c:symbol val="none"/>
          </c:marker>
          <c:cat>
            <c:strRef>
              <c:f>'Анализ проекта'!$G$43:$Z$43</c:f>
              <c:strCache>
                <c:ptCount val="20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5 кв.</c:v>
                </c:pt>
                <c:pt idx="5">
                  <c:v>6 кв.</c:v>
                </c:pt>
                <c:pt idx="6">
                  <c:v>7 кв.</c:v>
                </c:pt>
                <c:pt idx="7">
                  <c:v>8 кв.</c:v>
                </c:pt>
                <c:pt idx="8">
                  <c:v>9 кв.</c:v>
                </c:pt>
                <c:pt idx="9">
                  <c:v>10 кв.</c:v>
                </c:pt>
                <c:pt idx="10">
                  <c:v>11 кв.</c:v>
                </c:pt>
                <c:pt idx="11">
                  <c:v>12 кв.</c:v>
                </c:pt>
                <c:pt idx="12">
                  <c:v>13 кв.</c:v>
                </c:pt>
                <c:pt idx="13">
                  <c:v>14 кв.</c:v>
                </c:pt>
                <c:pt idx="14">
                  <c:v>15 кв.</c:v>
                </c:pt>
                <c:pt idx="15">
                  <c:v>16 кв.</c:v>
                </c:pt>
                <c:pt idx="16">
                  <c:v>17 кв.</c:v>
                </c:pt>
                <c:pt idx="17">
                  <c:v>18 кв.</c:v>
                </c:pt>
                <c:pt idx="18">
                  <c:v>19 кв.</c:v>
                </c:pt>
                <c:pt idx="19">
                  <c:v>20 кв.</c:v>
                </c:pt>
              </c:strCache>
            </c:strRef>
          </c:cat>
          <c:val>
            <c:numRef>
              <c:f>'Анализ проекта'!$G$55:$Z$55</c:f>
              <c:numCache>
                <c:formatCode>0%</c:formatCode>
                <c:ptCount val="20"/>
                <c:pt idx="0">
                  <c:v>0.27983802425016702</c:v>
                </c:pt>
                <c:pt idx="1">
                  <c:v>1.2359546250744522</c:v>
                </c:pt>
                <c:pt idx="2">
                  <c:v>2.224150984655501</c:v>
                </c:pt>
                <c:pt idx="3">
                  <c:v>3.0928457028336185</c:v>
                </c:pt>
                <c:pt idx="4">
                  <c:v>3.2215330592038356</c:v>
                </c:pt>
                <c:pt idx="5">
                  <c:v>4.2701500086866693</c:v>
                </c:pt>
                <c:pt idx="6">
                  <c:v>6.9124250974778274</c:v>
                </c:pt>
                <c:pt idx="7">
                  <c:v>8.8210624825928576</c:v>
                </c:pt>
                <c:pt idx="8">
                  <c:v>10.638297051749561</c:v>
                </c:pt>
                <c:pt idx="9">
                  <c:v>12.829315531486085</c:v>
                </c:pt>
                <c:pt idx="10">
                  <c:v>13.43715811139486</c:v>
                </c:pt>
                <c:pt idx="11">
                  <c:v>14.777300747613118</c:v>
                </c:pt>
                <c:pt idx="12">
                  <c:v>15.949915734639788</c:v>
                </c:pt>
                <c:pt idx="13">
                  <c:v>17.05246834800321</c:v>
                </c:pt>
                <c:pt idx="14">
                  <c:v>18.352030833714448</c:v>
                </c:pt>
                <c:pt idx="15">
                  <c:v>20.232986352343691</c:v>
                </c:pt>
                <c:pt idx="16">
                  <c:v>20.155942261261362</c:v>
                </c:pt>
                <c:pt idx="17">
                  <c:v>21.786893045704151</c:v>
                </c:pt>
                <c:pt idx="18">
                  <c:v>23.593696269092074</c:v>
                </c:pt>
                <c:pt idx="19">
                  <c:v>25.103037717995377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87800"/>
        <c:axId val="192688192"/>
      </c:lineChart>
      <c:catAx>
        <c:axId val="19268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92688192"/>
        <c:crosses val="autoZero"/>
        <c:auto val="1"/>
        <c:lblAlgn val="ctr"/>
        <c:lblOffset val="100"/>
        <c:noMultiLvlLbl val="0"/>
      </c:catAx>
      <c:valAx>
        <c:axId val="19268819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92687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935817805383023"/>
          <c:y val="0.89619325362107516"/>
          <c:w val="0.43234052265205991"/>
          <c:h val="6.849893763279602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16931484227234"/>
          <c:y val="0.19607794623325669"/>
          <c:w val="0.77490464924738811"/>
          <c:h val="0.51332765699268335"/>
        </c:manualLayout>
      </c:layout>
      <c:areaChart>
        <c:grouping val="percentStacked"/>
        <c:varyColors val="0"/>
        <c:ser>
          <c:idx val="0"/>
          <c:order val="0"/>
          <c:tx>
            <c:strRef>
              <c:f>'Анализ проекта'!$C$90</c:f>
              <c:strCache>
                <c:ptCount val="1"/>
                <c:pt idx="0">
                  <c:v>Расходы на заработную плату и ЕСН</c:v>
                </c:pt>
              </c:strCache>
            </c:strRef>
          </c:tx>
          <c:cat>
            <c:numRef>
              <c:f>'Прогнозные отчеты'!$C$2:$G$2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('Анализ проекта'!$G$90,'Анализ проекта'!$I$90,'Анализ проекта'!$K$90,'Анализ проекта'!$M$90,'Анализ проекта'!$O$90)</c:f>
              <c:numCache>
                <c:formatCode>0%</c:formatCode>
                <c:ptCount val="5"/>
                <c:pt idx="0">
                  <c:v>0.30761238516127143</c:v>
                </c:pt>
                <c:pt idx="1">
                  <c:v>0.15784399378445449</c:v>
                </c:pt>
                <c:pt idx="2">
                  <c:v>8.0051157515818663E-2</c:v>
                </c:pt>
                <c:pt idx="3">
                  <c:v>5.9403477216759218E-2</c:v>
                </c:pt>
                <c:pt idx="4">
                  <c:v>4.8603974717510462E-2</c:v>
                </c:pt>
              </c:numCache>
            </c:numRef>
          </c:val>
        </c:ser>
        <c:ser>
          <c:idx val="1"/>
          <c:order val="1"/>
          <c:tx>
            <c:strRef>
              <c:f>'Анализ проекта'!$C$91</c:f>
              <c:strCache>
                <c:ptCount val="1"/>
                <c:pt idx="0">
                  <c:v>Материальные расходы</c:v>
                </c:pt>
              </c:strCache>
            </c:strRef>
          </c:tx>
          <c:cat>
            <c:numRef>
              <c:f>'Прогнозные отчеты'!$C$2:$G$2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('Анализ проекта'!$G$91,'Анализ проекта'!$I$91,'Анализ проекта'!$K$91,'Анализ проекта'!$M$91,'Анализ проекта'!$O$91)</c:f>
              <c:numCache>
                <c:formatCode>0%</c:formatCode>
                <c:ptCount val="5"/>
                <c:pt idx="0">
                  <c:v>0.64048568037809683</c:v>
                </c:pt>
                <c:pt idx="1">
                  <c:v>0.82117643068722002</c:v>
                </c:pt>
                <c:pt idx="2">
                  <c:v>0.90408300993616297</c:v>
                </c:pt>
                <c:pt idx="3">
                  <c:v>0.92764232757731846</c:v>
                </c:pt>
                <c:pt idx="4">
                  <c:v>0.94079889638338932</c:v>
                </c:pt>
              </c:numCache>
            </c:numRef>
          </c:val>
        </c:ser>
        <c:ser>
          <c:idx val="2"/>
          <c:order val="2"/>
          <c:tx>
            <c:strRef>
              <c:f>'Анализ проекта'!$C$92</c:f>
              <c:strCache>
                <c:ptCount val="1"/>
                <c:pt idx="0">
                  <c:v>Общепроизводственные расходы</c:v>
                </c:pt>
              </c:strCache>
            </c:strRef>
          </c:tx>
          <c:cat>
            <c:numRef>
              <c:f>'Прогнозные отчеты'!$C$2:$G$2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('Анализ проекта'!$G$92,'Анализ проекта'!$I$92,'Анализ проекта'!$K$92,'Анализ проекта'!$M$92,'Анализ проекта'!$O$92)</c:f>
              <c:numCache>
                <c:formatCode>0%</c:formatCode>
                <c:ptCount val="5"/>
                <c:pt idx="0">
                  <c:v>1.3169147549712499E-2</c:v>
                </c:pt>
                <c:pt idx="1">
                  <c:v>4.4107144273837409E-3</c:v>
                </c:pt>
                <c:pt idx="2">
                  <c:v>2.1959653447790003E-3</c:v>
                </c:pt>
                <c:pt idx="3">
                  <c:v>1.6097058044361376E-3</c:v>
                </c:pt>
                <c:pt idx="4">
                  <c:v>1.3170626348346312E-3</c:v>
                </c:pt>
              </c:numCache>
            </c:numRef>
          </c:val>
        </c:ser>
        <c:ser>
          <c:idx val="3"/>
          <c:order val="3"/>
          <c:tx>
            <c:strRef>
              <c:f>'Анализ проекта'!$C$93</c:f>
              <c:strCache>
                <c:ptCount val="1"/>
                <c:pt idx="0">
                  <c:v>Административные расходы</c:v>
                </c:pt>
              </c:strCache>
            </c:strRef>
          </c:tx>
          <c:cat>
            <c:numRef>
              <c:f>'Прогнозные отчеты'!$C$2:$G$2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('Анализ проекта'!$G$93,'Анализ проекта'!$I$93,'Анализ проекта'!$K$93,'Анализ проекта'!$M$93,'Анализ проекта'!$O$93)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'Анализ проекта'!$C$94</c:f>
              <c:strCache>
                <c:ptCount val="1"/>
                <c:pt idx="0">
                  <c:v>Коммерческие расходы</c:v>
                </c:pt>
              </c:strCache>
            </c:strRef>
          </c:tx>
          <c:cat>
            <c:numRef>
              <c:f>'Прогнозные отчеты'!$C$2:$G$2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('Анализ проекта'!$G$94,'Анализ проекта'!$I$94,'Анализ проекта'!$K$94,'Анализ проекта'!$M$94,'Анализ проекта'!$O$94)</c:f>
              <c:numCache>
                <c:formatCode>0%</c:formatCode>
                <c:ptCount val="5"/>
                <c:pt idx="0">
                  <c:v>3.8732786910919109E-2</c:v>
                </c:pt>
                <c:pt idx="1">
                  <c:v>1.6568861100941797E-2</c:v>
                </c:pt>
                <c:pt idx="2">
                  <c:v>1.3654971595094932E-2</c:v>
                </c:pt>
                <c:pt idx="3">
                  <c:v>1.0972656157121712E-2</c:v>
                </c:pt>
                <c:pt idx="4">
                  <c:v>8.9778364404267171E-3</c:v>
                </c:pt>
              </c:numCache>
            </c:numRef>
          </c:val>
        </c:ser>
        <c:ser>
          <c:idx val="5"/>
          <c:order val="5"/>
          <c:tx>
            <c:strRef>
              <c:f>'Анализ проекта'!$C$95</c:f>
              <c:strCache>
                <c:ptCount val="1"/>
                <c:pt idx="0">
                  <c:v>Амортизация</c:v>
                </c:pt>
              </c:strCache>
            </c:strRef>
          </c:tx>
          <c:spPr>
            <a:ln w="25400">
              <a:noFill/>
            </a:ln>
          </c:spPr>
          <c:cat>
            <c:numRef>
              <c:f>'Прогнозные отчеты'!$C$2:$G$2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('Анализ проекта'!$G$95,'Анализ проекта'!$I$95,'Анализ проекта'!$K$95,'Анализ проекта'!$M$95,'Анализ проекта'!$O$95)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8.3215687959494601E-6</c:v>
                </c:pt>
                <c:pt idx="3">
                  <c:v>1.5651194930778271E-4</c:v>
                </c:pt>
                <c:pt idx="4">
                  <c:v>1.2195346826669517E-4</c:v>
                </c:pt>
              </c:numCache>
            </c:numRef>
          </c:val>
        </c:ser>
        <c:ser>
          <c:idx val="6"/>
          <c:order val="6"/>
          <c:tx>
            <c:strRef>
              <c:f>'Анализ проекта'!$C$96</c:f>
              <c:strCache>
                <c:ptCount val="1"/>
                <c:pt idx="0">
                  <c:v>Налоги</c:v>
                </c:pt>
              </c:strCache>
            </c:strRef>
          </c:tx>
          <c:spPr>
            <a:ln w="25400">
              <a:noFill/>
            </a:ln>
          </c:spPr>
          <c:cat>
            <c:numRef>
              <c:f>'Прогнозные отчеты'!$C$2:$G$2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('Анализ проекта'!$G$96,'Анализ проекта'!$I$96,'Анализ проекта'!$K$96,'Анализ проекта'!$M$96,'Анализ проекта'!$O$96)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6.5740393488000744E-6</c:v>
                </c:pt>
                <c:pt idx="3">
                  <c:v>2.1532129505658386E-4</c:v>
                </c:pt>
                <c:pt idx="4">
                  <c:v>1.8027635557224875E-4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9368"/>
        <c:axId val="235864096"/>
      </c:areaChart>
      <c:catAx>
        <c:axId val="19268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5864096"/>
        <c:crosses val="autoZero"/>
        <c:auto val="1"/>
        <c:lblAlgn val="ctr"/>
        <c:lblOffset val="100"/>
        <c:noMultiLvlLbl val="0"/>
      </c:catAx>
      <c:valAx>
        <c:axId val="23586409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92689368"/>
        <c:crosses val="autoZero"/>
        <c:crossBetween val="midCat"/>
      </c:valAx>
    </c:plotArea>
    <c:legend>
      <c:legendPos val="b"/>
      <c:layout>
        <c:manualLayout>
          <c:xMode val="edge"/>
          <c:yMode val="edge"/>
          <c:wMode val="edge"/>
          <c:hMode val="edge"/>
          <c:x val="0.16351199144296821"/>
          <c:y val="0.77109297313445591"/>
          <c:w val="0.81187262394164728"/>
          <c:h val="0.96496788511192189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26875778142904E-2"/>
          <c:y val="0.19300551436073568"/>
          <c:w val="0.83413335803043431"/>
          <c:h val="0.52799209675695491"/>
        </c:manualLayout>
      </c:layout>
      <c:areaChart>
        <c:grouping val="percentStacked"/>
        <c:varyColors val="0"/>
        <c:ser>
          <c:idx val="0"/>
          <c:order val="0"/>
          <c:tx>
            <c:strRef>
              <c:f>'Анализ проекта'!$C$99</c:f>
              <c:strCache>
                <c:ptCount val="1"/>
                <c:pt idx="0">
                  <c:v>Расходы на заработную плату и ЕСН</c:v>
                </c:pt>
              </c:strCache>
            </c:strRef>
          </c:tx>
          <c:cat>
            <c:numRef>
              <c:f>'Прогнозные отчеты'!$C$2:$G$2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('Анализ проекта'!$G$99,'Анализ проекта'!$I$99,'Анализ проекта'!$K$99,'Анализ проекта'!$M$99,'Анализ проекта'!$O$99)</c:f>
              <c:numCache>
                <c:formatCode>0%</c:formatCode>
                <c:ptCount val="5"/>
                <c:pt idx="0">
                  <c:v>0.33838283181295642</c:v>
                </c:pt>
                <c:pt idx="1">
                  <c:v>0.17867532975823855</c:v>
                </c:pt>
                <c:pt idx="2">
                  <c:v>9.1839535155378113E-2</c:v>
                </c:pt>
                <c:pt idx="3">
                  <c:v>6.8413799441502485E-2</c:v>
                </c:pt>
                <c:pt idx="4">
                  <c:v>5.6096906268073773E-2</c:v>
                </c:pt>
              </c:numCache>
            </c:numRef>
          </c:val>
        </c:ser>
        <c:ser>
          <c:idx val="1"/>
          <c:order val="1"/>
          <c:tx>
            <c:strRef>
              <c:f>'Анализ проекта'!$C$100</c:f>
              <c:strCache>
                <c:ptCount val="1"/>
                <c:pt idx="0">
                  <c:v>Материальные расходы</c:v>
                </c:pt>
              </c:strCache>
            </c:strRef>
          </c:tx>
          <c:spPr>
            <a:ln w="25400">
              <a:noFill/>
            </a:ln>
          </c:spPr>
          <c:cat>
            <c:numRef>
              <c:f>'Прогнозные отчеты'!$C$2:$G$2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('Анализ проекта'!$G$100,'Анализ проекта'!$I$100,'Анализ проекта'!$K$100,'Анализ проекта'!$M$100,'Анализ проекта'!$O$100)</c:f>
              <c:numCache>
                <c:formatCode>0%</c:formatCode>
                <c:ptCount val="5"/>
                <c:pt idx="0">
                  <c:v>0.6045234866366358</c:v>
                </c:pt>
                <c:pt idx="1">
                  <c:v>0.79757633186133325</c:v>
                </c:pt>
                <c:pt idx="2">
                  <c:v>0.88995822103852618</c:v>
                </c:pt>
                <c:pt idx="3">
                  <c:v>0.91666711241303112</c:v>
                </c:pt>
                <c:pt idx="4">
                  <c:v>0.93167228030527538</c:v>
                </c:pt>
              </c:numCache>
            </c:numRef>
          </c:val>
        </c:ser>
        <c:ser>
          <c:idx val="2"/>
          <c:order val="2"/>
          <c:tx>
            <c:strRef>
              <c:f>'Анализ проекта'!$C$101</c:f>
              <c:strCache>
                <c:ptCount val="1"/>
                <c:pt idx="0">
                  <c:v>Общепроизводственные расходы</c:v>
                </c:pt>
              </c:strCache>
            </c:strRef>
          </c:tx>
          <c:spPr>
            <a:ln w="25400">
              <a:noFill/>
            </a:ln>
          </c:spPr>
          <c:cat>
            <c:numRef>
              <c:f>'Прогнозные отчеты'!$C$2:$G$2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('Анализ проекта'!$G$101,'Анализ проекта'!$I$101,'Анализ проекта'!$K$101,'Анализ проекта'!$M$101,'Анализ проекта'!$O$101)</c:f>
              <c:numCache>
                <c:formatCode>0%</c:formatCode>
                <c:ptCount val="5"/>
                <c:pt idx="0">
                  <c:v>1.4486456512790014E-2</c:v>
                </c:pt>
                <c:pt idx="1">
                  <c:v>4.9928149680398305E-3</c:v>
                </c:pt>
                <c:pt idx="2">
                  <c:v>2.5193444135017075E-3</c:v>
                </c:pt>
                <c:pt idx="3">
                  <c:v>1.8538660567406482E-3</c:v>
                </c:pt>
                <c:pt idx="4">
                  <c:v>1.5201048804118248E-3</c:v>
                </c:pt>
              </c:numCache>
            </c:numRef>
          </c:val>
        </c:ser>
        <c:ser>
          <c:idx val="3"/>
          <c:order val="3"/>
          <c:tx>
            <c:strRef>
              <c:f>'Анализ проекта'!$C$102</c:f>
              <c:strCache>
                <c:ptCount val="1"/>
                <c:pt idx="0">
                  <c:v>Административные расходы</c:v>
                </c:pt>
              </c:strCache>
            </c:strRef>
          </c:tx>
          <c:spPr>
            <a:ln w="25400">
              <a:noFill/>
            </a:ln>
          </c:spPr>
          <c:cat>
            <c:numRef>
              <c:f>'Прогнозные отчеты'!$C$2:$G$2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('Анализ проекта'!$G$102,'Анализ проекта'!$I$102,'Анализ проекта'!$K$102,'Анализ проекта'!$M$102,'Анализ проекта'!$O$102)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'Анализ проекта'!$C$103</c:f>
              <c:strCache>
                <c:ptCount val="1"/>
                <c:pt idx="0">
                  <c:v>Коммерческие расходы</c:v>
                </c:pt>
              </c:strCache>
            </c:strRef>
          </c:tx>
          <c:spPr>
            <a:ln w="25400">
              <a:noFill/>
            </a:ln>
          </c:spPr>
          <c:cat>
            <c:numRef>
              <c:f>'Прогнозные отчеты'!$C$2:$G$2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('Анализ проекта'!$G$103,'Анализ проекта'!$I$103,'Анализ проекта'!$K$103,'Анализ проекта'!$M$103,'Анализ проекта'!$O$103)</c:f>
              <c:numCache>
                <c:formatCode>0%</c:formatCode>
                <c:ptCount val="5"/>
                <c:pt idx="0">
                  <c:v>4.2607225037617692E-2</c:v>
                </c:pt>
                <c:pt idx="1">
                  <c:v>1.8755523412388415E-2</c:v>
                </c:pt>
                <c:pt idx="2">
                  <c:v>1.5665810248972328E-2</c:v>
                </c:pt>
                <c:pt idx="3">
                  <c:v>1.2636989160326564E-2</c:v>
                </c:pt>
                <c:pt idx="4">
                  <c:v>1.0361886084745931E-2</c:v>
                </c:pt>
              </c:numCache>
            </c:numRef>
          </c:val>
        </c:ser>
        <c:ser>
          <c:idx val="5"/>
          <c:order val="5"/>
          <c:tx>
            <c:strRef>
              <c:f>'Анализ проекта'!$C$104</c:f>
              <c:strCache>
                <c:ptCount val="1"/>
                <c:pt idx="0">
                  <c:v>Амортизация</c:v>
                </c:pt>
              </c:strCache>
            </c:strRef>
          </c:tx>
          <c:spPr>
            <a:ln w="25400">
              <a:noFill/>
            </a:ln>
          </c:spPr>
          <c:cat>
            <c:numRef>
              <c:f>'Прогнозные отчеты'!$C$2:$G$2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('Анализ проекта'!$G$104,'Анализ проекта'!$I$104,'Анализ проекта'!$K$104,'Анализ проекта'!$M$104,'Анализ проекта'!$O$104)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9.5470076098834302E-6</c:v>
                </c:pt>
                <c:pt idx="3">
                  <c:v>1.8025168915735413E-4</c:v>
                </c:pt>
                <c:pt idx="4">
                  <c:v>1.4075417325815209E-4</c:v>
                </c:pt>
              </c:numCache>
            </c:numRef>
          </c:val>
        </c:ser>
        <c:ser>
          <c:idx val="6"/>
          <c:order val="6"/>
          <c:tx>
            <c:strRef>
              <c:f>'Анализ проекта'!$C$105</c:f>
              <c:strCache>
                <c:ptCount val="1"/>
                <c:pt idx="0">
                  <c:v>Налоги</c:v>
                </c:pt>
              </c:strCache>
            </c:strRef>
          </c:tx>
          <c:spPr>
            <a:ln w="25400">
              <a:noFill/>
            </a:ln>
          </c:spPr>
          <c:cat>
            <c:numRef>
              <c:f>'Прогнозные отчеты'!$C$2:$G$2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('Анализ проекта'!$G$105,'Анализ проекта'!$I$105,'Анализ проекта'!$K$105,'Анализ проекта'!$M$105,'Анализ проекта'!$O$105)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7.5421360118079098E-6</c:v>
                </c:pt>
                <c:pt idx="3">
                  <c:v>2.4798123924182902E-4</c:v>
                </c:pt>
                <c:pt idx="4">
                  <c:v>2.0806828823493334E-4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65272"/>
        <c:axId val="235866840"/>
      </c:areaChart>
      <c:catAx>
        <c:axId val="23586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5866840"/>
        <c:crosses val="autoZero"/>
        <c:auto val="1"/>
        <c:lblAlgn val="ctr"/>
        <c:lblOffset val="100"/>
        <c:noMultiLvlLbl val="0"/>
      </c:catAx>
      <c:valAx>
        <c:axId val="2358668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5865272"/>
        <c:crosses val="autoZero"/>
        <c:crossBetween val="midCat"/>
      </c:valAx>
    </c:plotArea>
    <c:legend>
      <c:legendPos val="b"/>
      <c:layout>
        <c:manualLayout>
          <c:xMode val="edge"/>
          <c:yMode val="edge"/>
          <c:wMode val="edge"/>
          <c:hMode val="edge"/>
          <c:x val="0.12285682046753503"/>
          <c:y val="0.77867735858171117"/>
          <c:w val="0.90041141119042367"/>
          <c:h val="0.94062444648406696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276225</xdr:colOff>
      <xdr:row>118</xdr:row>
      <xdr:rowOff>57150</xdr:rowOff>
    </xdr:from>
    <xdr:to>
      <xdr:col>23</xdr:col>
      <xdr:colOff>581025</xdr:colOff>
      <xdr:row>135</xdr:row>
      <xdr:rowOff>38100</xdr:rowOff>
    </xdr:to>
    <xdr:graphicFrame macro="">
      <xdr:nvGraphicFramePr>
        <xdr:cNvPr id="9680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86</xdr:row>
      <xdr:rowOff>85725</xdr:rowOff>
    </xdr:from>
    <xdr:to>
      <xdr:col>11</xdr:col>
      <xdr:colOff>476250</xdr:colOff>
      <xdr:row>106</xdr:row>
      <xdr:rowOff>152400</xdr:rowOff>
    </xdr:to>
    <xdr:graphicFrame macro="">
      <xdr:nvGraphicFramePr>
        <xdr:cNvPr id="968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0.09818</cdr:x>
      <cdr:y>0.03522</cdr:y>
    </cdr:from>
    <cdr:to>
      <cdr:x>0.86866</cdr:x>
      <cdr:y>0.11758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438150" y="152400"/>
          <a:ext cx="3974959" cy="34972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Структура себестоимости 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Продукта </a:t>
          </a:r>
          <a:r>
            <a:rPr lang="en-US" sz="1600" baseline="0">
              <a:solidFill>
                <a:srgbClr val="C00000"/>
              </a:solidFill>
              <a:latin typeface="Arial Narrow" pitchFamily="34" charset="0"/>
            </a:rPr>
            <a:t>2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57150</xdr:rowOff>
    </xdr:from>
    <xdr:to>
      <xdr:col>15</xdr:col>
      <xdr:colOff>514350</xdr:colOff>
      <xdr:row>22</xdr:row>
      <xdr:rowOff>9525</xdr:rowOff>
    </xdr:to>
    <xdr:graphicFrame macro="">
      <xdr:nvGraphicFramePr>
        <xdr:cNvPr id="2815210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23</xdr:row>
      <xdr:rowOff>57150</xdr:rowOff>
    </xdr:from>
    <xdr:to>
      <xdr:col>15</xdr:col>
      <xdr:colOff>514350</xdr:colOff>
      <xdr:row>46</xdr:row>
      <xdr:rowOff>57150</xdr:rowOff>
    </xdr:to>
    <xdr:graphicFrame macro="">
      <xdr:nvGraphicFramePr>
        <xdr:cNvPr id="2815211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0.04799</cdr:x>
      <cdr:y>0.01742</cdr:y>
    </cdr:from>
    <cdr:to>
      <cdr:x>0.91886</cdr:x>
      <cdr:y>0.1295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201706" y="56030"/>
          <a:ext cx="4132085" cy="34809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Структура активов компании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0.06388</cdr:x>
      <cdr:y>0.0199</cdr:y>
    </cdr:from>
    <cdr:to>
      <cdr:x>0.93512</cdr:x>
      <cdr:y>0.13015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268942" y="67236"/>
          <a:ext cx="4132085" cy="34809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Структура пассивов компании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333375</xdr:colOff>
      <xdr:row>23</xdr:row>
      <xdr:rowOff>0</xdr:rowOff>
    </xdr:to>
    <xdr:graphicFrame macro="">
      <xdr:nvGraphicFramePr>
        <xdr:cNvPr id="32770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26</xdr:row>
      <xdr:rowOff>38100</xdr:rowOff>
    </xdr:from>
    <xdr:to>
      <xdr:col>15</xdr:col>
      <xdr:colOff>419100</xdr:colOff>
      <xdr:row>43</xdr:row>
      <xdr:rowOff>85725</xdr:rowOff>
    </xdr:to>
    <xdr:graphicFrame macro="">
      <xdr:nvGraphicFramePr>
        <xdr:cNvPr id="327700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0.02475</cdr:x>
      <cdr:y>0.01904</cdr:y>
    </cdr:from>
    <cdr:to>
      <cdr:x>0.92469</cdr:x>
      <cdr:y>0.12004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100853" y="56030"/>
          <a:ext cx="4127922" cy="28092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Динамика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 показателей рентабельности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0.03303</cdr:x>
      <cdr:y>0.01047</cdr:y>
    </cdr:from>
    <cdr:to>
      <cdr:x>0.96659</cdr:x>
      <cdr:y>0.11134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134471" y="33617"/>
          <a:ext cx="4403910" cy="26894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Динамика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 рентабельности активов, собственного и инвестированного капитала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5</xdr:row>
      <xdr:rowOff>85725</xdr:rowOff>
    </xdr:from>
    <xdr:to>
      <xdr:col>14</xdr:col>
      <xdr:colOff>104775</xdr:colOff>
      <xdr:row>24</xdr:row>
      <xdr:rowOff>85725</xdr:rowOff>
    </xdr:to>
    <xdr:graphicFrame macro="">
      <xdr:nvGraphicFramePr>
        <xdr:cNvPr id="2931830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0.00079</cdr:x>
      <cdr:y>0.04568</cdr:y>
    </cdr:from>
    <cdr:to>
      <cdr:x>0.91041</cdr:x>
      <cdr:y>0.14329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18479" y="131296"/>
          <a:ext cx="3560376" cy="27187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Динамика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 коэффициентов ликвидности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</xdr:row>
      <xdr:rowOff>57150</xdr:rowOff>
    </xdr:from>
    <xdr:to>
      <xdr:col>14</xdr:col>
      <xdr:colOff>542925</xdr:colOff>
      <xdr:row>19</xdr:row>
      <xdr:rowOff>152400</xdr:rowOff>
    </xdr:to>
    <xdr:graphicFrame macro="">
      <xdr:nvGraphicFramePr>
        <xdr:cNvPr id="319088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0.03724</cdr:x>
      <cdr:y>0.0114</cdr:y>
    </cdr:from>
    <cdr:to>
      <cdr:x>0.92596</cdr:x>
      <cdr:y>0.13767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152400" y="38100"/>
          <a:ext cx="4076602" cy="36007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Динамика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 стоимости финансирования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0.03332</cdr:x>
      <cdr:y>0.02521</cdr:y>
    </cdr:from>
    <cdr:to>
      <cdr:x>0.9335</cdr:x>
      <cdr:y>0.14265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134471" y="67235"/>
          <a:ext cx="4127922" cy="29539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Динамика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 коэффициентов платёжеспособности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25</xdr:row>
      <xdr:rowOff>85725</xdr:rowOff>
    </xdr:from>
    <xdr:to>
      <xdr:col>14</xdr:col>
      <xdr:colOff>323850</xdr:colOff>
      <xdr:row>50</xdr:row>
      <xdr:rowOff>152400</xdr:rowOff>
    </xdr:to>
    <xdr:graphicFrame macro="">
      <xdr:nvGraphicFramePr>
        <xdr:cNvPr id="297277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0.05125</cdr:x>
      <cdr:y>0.08449</cdr:y>
    </cdr:from>
    <cdr:to>
      <cdr:x>0.16972</cdr:x>
      <cdr:y>0.1519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296" y="313764"/>
          <a:ext cx="448234" cy="246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>
              <a:latin typeface="Arial Narrow" pitchFamily="34" charset="0"/>
            </a:rPr>
            <a:t>дни</a:t>
          </a:r>
        </a:p>
      </cdr:txBody>
    </cdr:sp>
  </cdr:relSizeAnchor>
  <cdr:relSizeAnchor xmlns:cdr="http://schemas.openxmlformats.org/drawingml/2006/chartDrawing">
    <cdr:from>
      <cdr:x>0.02042</cdr:x>
      <cdr:y>0.01792</cdr:y>
    </cdr:from>
    <cdr:to>
      <cdr:x>0.99033</cdr:x>
      <cdr:y>0.0989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78442" y="70524"/>
          <a:ext cx="4129550" cy="2958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Динамика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 оборачиваемости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77</xdr:row>
      <xdr:rowOff>28575</xdr:rowOff>
    </xdr:from>
    <xdr:to>
      <xdr:col>12</xdr:col>
      <xdr:colOff>485775</xdr:colOff>
      <xdr:row>95</xdr:row>
      <xdr:rowOff>9525</xdr:rowOff>
    </xdr:to>
    <xdr:graphicFrame macro="">
      <xdr:nvGraphicFramePr>
        <xdr:cNvPr id="5839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56</xdr:row>
      <xdr:rowOff>104775</xdr:rowOff>
    </xdr:from>
    <xdr:to>
      <xdr:col>16</xdr:col>
      <xdr:colOff>38100</xdr:colOff>
      <xdr:row>79</xdr:row>
      <xdr:rowOff>28575</xdr:rowOff>
    </xdr:to>
    <xdr:graphicFrame macro="">
      <xdr:nvGraphicFramePr>
        <xdr:cNvPr id="4825259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56</xdr:row>
      <xdr:rowOff>85725</xdr:rowOff>
    </xdr:from>
    <xdr:to>
      <xdr:col>8</xdr:col>
      <xdr:colOff>38100</xdr:colOff>
      <xdr:row>79</xdr:row>
      <xdr:rowOff>9525</xdr:rowOff>
    </xdr:to>
    <xdr:graphicFrame macro="">
      <xdr:nvGraphicFramePr>
        <xdr:cNvPr id="4825260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447675</xdr:colOff>
      <xdr:row>56</xdr:row>
      <xdr:rowOff>104775</xdr:rowOff>
    </xdr:from>
    <xdr:to>
      <xdr:col>24</xdr:col>
      <xdr:colOff>180975</xdr:colOff>
      <xdr:row>79</xdr:row>
      <xdr:rowOff>57150</xdr:rowOff>
    </xdr:to>
    <xdr:graphicFrame macro="">
      <xdr:nvGraphicFramePr>
        <xdr:cNvPr id="4825261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47625</xdr:colOff>
      <xdr:row>56</xdr:row>
      <xdr:rowOff>152400</xdr:rowOff>
    </xdr:from>
    <xdr:to>
      <xdr:col>32</xdr:col>
      <xdr:colOff>381000</xdr:colOff>
      <xdr:row>79</xdr:row>
      <xdr:rowOff>28575</xdr:rowOff>
    </xdr:to>
    <xdr:graphicFrame macro="">
      <xdr:nvGraphicFramePr>
        <xdr:cNvPr id="4825262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247650</xdr:colOff>
      <xdr:row>85</xdr:row>
      <xdr:rowOff>104775</xdr:rowOff>
    </xdr:from>
    <xdr:to>
      <xdr:col>24</xdr:col>
      <xdr:colOff>581025</xdr:colOff>
      <xdr:row>114</xdr:row>
      <xdr:rowOff>95250</xdr:rowOff>
    </xdr:to>
    <xdr:graphicFrame macro="">
      <xdr:nvGraphicFramePr>
        <xdr:cNvPr id="4825263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409575</xdr:colOff>
      <xdr:row>85</xdr:row>
      <xdr:rowOff>133350</xdr:rowOff>
    </xdr:from>
    <xdr:to>
      <xdr:col>34</xdr:col>
      <xdr:colOff>19050</xdr:colOff>
      <xdr:row>114</xdr:row>
      <xdr:rowOff>95250</xdr:rowOff>
    </xdr:to>
    <xdr:graphicFrame macro="">
      <xdr:nvGraphicFramePr>
        <xdr:cNvPr id="4825264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0.05991</cdr:x>
      <cdr:y>0.04133</cdr:y>
    </cdr:from>
    <cdr:to>
      <cdr:x>0.91586</cdr:x>
      <cdr:y>0.15411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246529" y="136006"/>
          <a:ext cx="3922059" cy="35928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Динамика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 запаса прочности Продукта 1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0.08283</cdr:x>
      <cdr:y>0.02613</cdr:y>
    </cdr:from>
    <cdr:to>
      <cdr:x>0.92794</cdr:x>
      <cdr:y>0.13207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324971" y="89648"/>
          <a:ext cx="3922059" cy="34738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Динамика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 точки безубыточности Продукта 1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0.086</cdr:x>
      <cdr:y>0.04416</cdr:y>
    </cdr:from>
    <cdr:to>
      <cdr:x>0.93511</cdr:x>
      <cdr:y>0.15164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336177" y="144427"/>
          <a:ext cx="3930230" cy="33963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Динамика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 точки безубыточности Продукта 2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0.03406</cdr:x>
      <cdr:y>0.01591</cdr:y>
    </cdr:from>
    <cdr:to>
      <cdr:x>0.8875</cdr:x>
      <cdr:y>0.12393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145552" y="55659"/>
          <a:ext cx="3919687" cy="35840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Динамика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 запаса прочности Продукта 2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0.14194</cdr:x>
      <cdr:y>0.058</cdr:y>
    </cdr:from>
    <cdr:to>
      <cdr:x>0.82325</cdr:x>
      <cdr:y>0.13772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751146" y="257803"/>
          <a:ext cx="3932189" cy="34972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Структура себестоимости 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Продукта 1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table.com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exceltable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exceltable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exceltable.com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http://exceltable.com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http://exceltable.com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http://exceltabl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http://exceltable.com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tabl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"/>
  <sheetViews>
    <sheetView tabSelected="1" zoomScale="85" zoomScaleNormal="85" workbookViewId="0">
      <selection activeCell="B1" sqref="B1"/>
    </sheetView>
  </sheetViews>
  <sheetFormatPr defaultColWidth="8.85546875" defaultRowHeight="12.75" x14ac:dyDescent="0.2"/>
  <cols>
    <col min="1" max="1" width="3.85546875" customWidth="1"/>
    <col min="2" max="2" width="39.85546875" customWidth="1"/>
    <col min="3" max="6" width="10.7109375" customWidth="1"/>
  </cols>
  <sheetData>
    <row r="1" spans="1:24" ht="18" x14ac:dyDescent="0.25">
      <c r="B1" s="319" t="s">
        <v>573</v>
      </c>
    </row>
    <row r="2" spans="1:24" s="2" customFormat="1" x14ac:dyDescent="0.2">
      <c r="A2" s="11" t="s">
        <v>122</v>
      </c>
      <c r="B2" s="12"/>
      <c r="C2" s="2" t="s">
        <v>108</v>
      </c>
      <c r="D2" s="3" t="s">
        <v>87</v>
      </c>
      <c r="E2" s="3" t="s">
        <v>88</v>
      </c>
      <c r="F2" s="3" t="s">
        <v>89</v>
      </c>
      <c r="G2" s="3" t="s">
        <v>90</v>
      </c>
      <c r="H2" s="4" t="s">
        <v>91</v>
      </c>
      <c r="I2" s="4" t="s">
        <v>92</v>
      </c>
      <c r="J2" s="4" t="s">
        <v>93</v>
      </c>
      <c r="K2" s="4" t="s">
        <v>94</v>
      </c>
      <c r="L2" s="5" t="s">
        <v>95</v>
      </c>
      <c r="M2" s="5" t="s">
        <v>96</v>
      </c>
      <c r="N2" s="5" t="s">
        <v>97</v>
      </c>
      <c r="O2" s="5" t="s">
        <v>98</v>
      </c>
      <c r="P2" s="6" t="s">
        <v>99</v>
      </c>
      <c r="Q2" s="6" t="s">
        <v>100</v>
      </c>
      <c r="R2" s="6" t="s">
        <v>101</v>
      </c>
      <c r="S2" s="6" t="s">
        <v>102</v>
      </c>
      <c r="T2" s="7" t="s">
        <v>103</v>
      </c>
      <c r="U2" s="7" t="s">
        <v>104</v>
      </c>
      <c r="V2" s="7" t="s">
        <v>105</v>
      </c>
      <c r="W2" s="7" t="s">
        <v>106</v>
      </c>
      <c r="X2" s="8"/>
    </row>
    <row r="3" spans="1:24" s="22" customFormat="1" x14ac:dyDescent="0.2">
      <c r="A3" s="20"/>
      <c r="B3" s="21"/>
      <c r="X3" s="23"/>
    </row>
    <row r="4" spans="1:24" s="22" customFormat="1" x14ac:dyDescent="0.2">
      <c r="A4" s="24" t="s">
        <v>319</v>
      </c>
      <c r="B4" s="21"/>
      <c r="D4" s="163">
        <v>2014</v>
      </c>
      <c r="H4" s="251"/>
      <c r="I4" s="252"/>
      <c r="J4" s="252"/>
      <c r="K4" s="252"/>
      <c r="L4" s="251"/>
      <c r="M4" s="252"/>
      <c r="N4" s="252"/>
      <c r="O4" s="252"/>
      <c r="P4" s="251"/>
      <c r="Q4" s="252"/>
      <c r="R4" s="252"/>
      <c r="S4" s="252"/>
      <c r="T4" s="251"/>
      <c r="U4" s="252"/>
      <c r="V4" s="252"/>
      <c r="W4" s="252"/>
      <c r="X4" s="23"/>
    </row>
    <row r="5" spans="1:24" s="22" customFormat="1" x14ac:dyDescent="0.2">
      <c r="A5" s="20"/>
      <c r="B5" s="21"/>
      <c r="X5" s="23"/>
    </row>
    <row r="6" spans="1:24" x14ac:dyDescent="0.2">
      <c r="A6" s="24" t="s">
        <v>124</v>
      </c>
    </row>
    <row r="7" spans="1:24" s="2" customFormat="1" x14ac:dyDescent="0.2">
      <c r="B7" s="9" t="s">
        <v>118</v>
      </c>
      <c r="C7" s="2" t="s">
        <v>123</v>
      </c>
      <c r="D7" s="283">
        <v>7.4999999999999997E-2</v>
      </c>
      <c r="E7" s="81">
        <f>D7</f>
        <v>7.4999999999999997E-2</v>
      </c>
      <c r="F7" s="81">
        <f>E7</f>
        <v>7.4999999999999997E-2</v>
      </c>
      <c r="G7" s="81">
        <f>F7</f>
        <v>7.4999999999999997E-2</v>
      </c>
      <c r="H7" s="76">
        <v>7.7499999999999999E-2</v>
      </c>
      <c r="I7" s="81">
        <f>H7</f>
        <v>7.7499999999999999E-2</v>
      </c>
      <c r="J7" s="81">
        <f>I7</f>
        <v>7.7499999999999999E-2</v>
      </c>
      <c r="K7" s="81">
        <f>J7</f>
        <v>7.7499999999999999E-2</v>
      </c>
      <c r="L7" s="76">
        <v>0.06</v>
      </c>
      <c r="M7" s="81">
        <f>L7</f>
        <v>0.06</v>
      </c>
      <c r="N7" s="81">
        <f>M7</f>
        <v>0.06</v>
      </c>
      <c r="O7" s="81">
        <f>N7</f>
        <v>0.06</v>
      </c>
      <c r="P7" s="76">
        <v>0.05</v>
      </c>
      <c r="Q7" s="81">
        <f>P7</f>
        <v>0.05</v>
      </c>
      <c r="R7" s="81">
        <f>Q7</f>
        <v>0.05</v>
      </c>
      <c r="S7" s="81">
        <f>R7</f>
        <v>0.05</v>
      </c>
      <c r="T7" s="76">
        <v>0.05</v>
      </c>
      <c r="U7" s="81">
        <f>T7</f>
        <v>0.05</v>
      </c>
      <c r="V7" s="81">
        <f>U7</f>
        <v>0.05</v>
      </c>
      <c r="W7" s="81">
        <f>V7</f>
        <v>0.05</v>
      </c>
    </row>
    <row r="8" spans="1:24" s="2" customFormat="1" x14ac:dyDescent="0.2">
      <c r="B8" s="9" t="s">
        <v>119</v>
      </c>
      <c r="C8" s="2" t="s">
        <v>123</v>
      </c>
      <c r="D8" s="81">
        <f>POWER(1+D7,90/360)-1</f>
        <v>1.8244601098569957E-2</v>
      </c>
      <c r="E8" s="81">
        <f t="shared" ref="E8:W8" si="0">POWER(1+E7,90/360)-1</f>
        <v>1.8244601098569957E-2</v>
      </c>
      <c r="F8" s="81">
        <f t="shared" si="0"/>
        <v>1.8244601098569957E-2</v>
      </c>
      <c r="G8" s="81">
        <f t="shared" si="0"/>
        <v>1.8244601098569957E-2</v>
      </c>
      <c r="H8" s="81">
        <f t="shared" si="0"/>
        <v>1.8836088191488631E-2</v>
      </c>
      <c r="I8" s="81">
        <f t="shared" si="0"/>
        <v>1.8836088191488631E-2</v>
      </c>
      <c r="J8" s="81">
        <f t="shared" si="0"/>
        <v>1.8836088191488631E-2</v>
      </c>
      <c r="K8" s="81">
        <f t="shared" si="0"/>
        <v>1.8836088191488631E-2</v>
      </c>
      <c r="L8" s="81">
        <f t="shared" si="0"/>
        <v>1.4673846168659299E-2</v>
      </c>
      <c r="M8" s="81">
        <f t="shared" si="0"/>
        <v>1.4673846168659299E-2</v>
      </c>
      <c r="N8" s="81">
        <f t="shared" si="0"/>
        <v>1.4673846168659299E-2</v>
      </c>
      <c r="O8" s="81">
        <f t="shared" si="0"/>
        <v>1.4673846168659299E-2</v>
      </c>
      <c r="P8" s="81">
        <f t="shared" si="0"/>
        <v>1.2272234429039353E-2</v>
      </c>
      <c r="Q8" s="81">
        <f t="shared" si="0"/>
        <v>1.2272234429039353E-2</v>
      </c>
      <c r="R8" s="81">
        <f t="shared" si="0"/>
        <v>1.2272234429039353E-2</v>
      </c>
      <c r="S8" s="81">
        <f t="shared" si="0"/>
        <v>1.2272234429039353E-2</v>
      </c>
      <c r="T8" s="81">
        <f t="shared" si="0"/>
        <v>1.2272234429039353E-2</v>
      </c>
      <c r="U8" s="81">
        <f t="shared" si="0"/>
        <v>1.2272234429039353E-2</v>
      </c>
      <c r="V8" s="81">
        <f t="shared" si="0"/>
        <v>1.2272234429039353E-2</v>
      </c>
      <c r="W8" s="81">
        <f t="shared" si="0"/>
        <v>1.2272234429039353E-2</v>
      </c>
    </row>
    <row r="9" spans="1:24" s="2" customFormat="1" x14ac:dyDescent="0.2">
      <c r="B9" s="9" t="s">
        <v>120</v>
      </c>
      <c r="D9" s="75">
        <v>1</v>
      </c>
      <c r="E9" s="75">
        <f>D9*(1+E8)</f>
        <v>1.01824460109857</v>
      </c>
      <c r="F9" s="75">
        <f t="shared" ref="F9:V9" si="1">E9*(1+F8)</f>
        <v>1.036822067666386</v>
      </c>
      <c r="G9" s="75">
        <f t="shared" si="1"/>
        <v>1.0557384727011536</v>
      </c>
      <c r="H9" s="75">
        <f>G9*(1+H8)</f>
        <v>1.0756244556801</v>
      </c>
      <c r="I9" s="75">
        <f t="shared" si="1"/>
        <v>1.0958850127882123</v>
      </c>
      <c r="J9" s="75">
        <f t="shared" si="1"/>
        <v>1.1165271995368218</v>
      </c>
      <c r="K9" s="75">
        <f t="shared" si="1"/>
        <v>1.1375582043354933</v>
      </c>
      <c r="L9" s="75">
        <f t="shared" si="1"/>
        <v>1.1542505584338085</v>
      </c>
      <c r="M9" s="75">
        <f t="shared" si="1"/>
        <v>1.1711878535683553</v>
      </c>
      <c r="N9" s="75">
        <f t="shared" si="1"/>
        <v>1.1883736839662196</v>
      </c>
      <c r="O9" s="75">
        <f t="shared" si="1"/>
        <v>1.2058116965956227</v>
      </c>
      <c r="P9" s="75">
        <f t="shared" si="1"/>
        <v>1.2206097004135219</v>
      </c>
      <c r="Q9" s="75">
        <f t="shared" si="1"/>
        <v>1.235589308803356</v>
      </c>
      <c r="R9" s="75">
        <f t="shared" si="1"/>
        <v>1.2507527504590055</v>
      </c>
      <c r="S9" s="75">
        <f t="shared" si="1"/>
        <v>1.2661022814254042</v>
      </c>
      <c r="T9" s="75">
        <f t="shared" si="1"/>
        <v>1.2816401854341983</v>
      </c>
      <c r="U9" s="75">
        <f>T9*(1+U8)</f>
        <v>1.2973687742435243</v>
      </c>
      <c r="V9" s="75">
        <f t="shared" si="1"/>
        <v>1.3132903879819562</v>
      </c>
      <c r="W9" s="75">
        <f>V9*(1+W8)</f>
        <v>1.3294073954966747</v>
      </c>
    </row>
    <row r="10" spans="1:24" s="2" customFormat="1" x14ac:dyDescent="0.2">
      <c r="B10" s="9" t="s">
        <v>121</v>
      </c>
      <c r="D10" s="75">
        <v>1</v>
      </c>
      <c r="E10" s="75">
        <f>1+D8</f>
        <v>1.01824460109857</v>
      </c>
      <c r="F10" s="75">
        <f>1+E8</f>
        <v>1.01824460109857</v>
      </c>
      <c r="G10" s="75">
        <f t="shared" ref="G10:W10" si="2">1+F8</f>
        <v>1.01824460109857</v>
      </c>
      <c r="H10" s="75">
        <f t="shared" si="2"/>
        <v>1.01824460109857</v>
      </c>
      <c r="I10" s="75">
        <f t="shared" si="2"/>
        <v>1.0188360881914886</v>
      </c>
      <c r="J10" s="75">
        <f t="shared" si="2"/>
        <v>1.0188360881914886</v>
      </c>
      <c r="K10" s="75">
        <f t="shared" si="2"/>
        <v>1.0188360881914886</v>
      </c>
      <c r="L10" s="75">
        <f t="shared" si="2"/>
        <v>1.0188360881914886</v>
      </c>
      <c r="M10" s="75">
        <f t="shared" si="2"/>
        <v>1.0146738461686593</v>
      </c>
      <c r="N10" s="75">
        <f t="shared" si="2"/>
        <v>1.0146738461686593</v>
      </c>
      <c r="O10" s="75">
        <f t="shared" si="2"/>
        <v>1.0146738461686593</v>
      </c>
      <c r="P10" s="75">
        <f t="shared" si="2"/>
        <v>1.0146738461686593</v>
      </c>
      <c r="Q10" s="75">
        <f t="shared" si="2"/>
        <v>1.0122722344290394</v>
      </c>
      <c r="R10" s="75">
        <f t="shared" si="2"/>
        <v>1.0122722344290394</v>
      </c>
      <c r="S10" s="75">
        <f t="shared" si="2"/>
        <v>1.0122722344290394</v>
      </c>
      <c r="T10" s="75">
        <f t="shared" si="2"/>
        <v>1.0122722344290394</v>
      </c>
      <c r="U10" s="75">
        <f t="shared" si="2"/>
        <v>1.0122722344290394</v>
      </c>
      <c r="V10" s="75">
        <f t="shared" si="2"/>
        <v>1.0122722344290394</v>
      </c>
      <c r="W10" s="75">
        <f t="shared" si="2"/>
        <v>1.0122722344290394</v>
      </c>
    </row>
    <row r="12" spans="1:24" x14ac:dyDescent="0.2">
      <c r="A12" s="25" t="s">
        <v>125</v>
      </c>
    </row>
    <row r="13" spans="1:24" x14ac:dyDescent="0.2">
      <c r="B13" s="9" t="s">
        <v>126</v>
      </c>
      <c r="C13" s="2" t="s">
        <v>123</v>
      </c>
      <c r="D13" s="283">
        <v>0.1</v>
      </c>
      <c r="E13" s="81">
        <f>D13</f>
        <v>0.1</v>
      </c>
      <c r="F13" s="81">
        <f t="shared" ref="F13:W16" si="3">E13</f>
        <v>0.1</v>
      </c>
      <c r="G13" s="81">
        <f t="shared" si="3"/>
        <v>0.1</v>
      </c>
      <c r="H13" s="81">
        <f t="shared" si="3"/>
        <v>0.1</v>
      </c>
      <c r="I13" s="81">
        <f t="shared" si="3"/>
        <v>0.1</v>
      </c>
      <c r="J13" s="81">
        <f t="shared" si="3"/>
        <v>0.1</v>
      </c>
      <c r="K13" s="81">
        <f t="shared" si="3"/>
        <v>0.1</v>
      </c>
      <c r="L13" s="81">
        <f t="shared" si="3"/>
        <v>0.1</v>
      </c>
      <c r="M13" s="81">
        <f t="shared" si="3"/>
        <v>0.1</v>
      </c>
      <c r="N13" s="81">
        <f t="shared" si="3"/>
        <v>0.1</v>
      </c>
      <c r="O13" s="81">
        <f t="shared" si="3"/>
        <v>0.1</v>
      </c>
      <c r="P13" s="81">
        <f t="shared" si="3"/>
        <v>0.1</v>
      </c>
      <c r="Q13" s="81">
        <f t="shared" si="3"/>
        <v>0.1</v>
      </c>
      <c r="R13" s="81">
        <f t="shared" si="3"/>
        <v>0.1</v>
      </c>
      <c r="S13" s="81">
        <f t="shared" si="3"/>
        <v>0.1</v>
      </c>
      <c r="T13" s="81">
        <f t="shared" si="3"/>
        <v>0.1</v>
      </c>
      <c r="U13" s="81">
        <f t="shared" si="3"/>
        <v>0.1</v>
      </c>
      <c r="V13" s="81">
        <f t="shared" si="3"/>
        <v>0.1</v>
      </c>
      <c r="W13" s="81">
        <f t="shared" si="3"/>
        <v>0.1</v>
      </c>
    </row>
    <row r="14" spans="1:24" x14ac:dyDescent="0.2">
      <c r="B14" s="9" t="s">
        <v>572</v>
      </c>
      <c r="C14" s="2" t="s">
        <v>123</v>
      </c>
      <c r="D14" s="283">
        <v>0.34</v>
      </c>
      <c r="E14" s="81">
        <f>D14</f>
        <v>0.34</v>
      </c>
      <c r="F14" s="81">
        <f t="shared" si="3"/>
        <v>0.34</v>
      </c>
      <c r="G14" s="81">
        <f t="shared" si="3"/>
        <v>0.34</v>
      </c>
      <c r="H14" s="81">
        <f t="shared" si="3"/>
        <v>0.34</v>
      </c>
      <c r="I14" s="81">
        <f t="shared" si="3"/>
        <v>0.34</v>
      </c>
      <c r="J14" s="81">
        <f t="shared" si="3"/>
        <v>0.34</v>
      </c>
      <c r="K14" s="81">
        <f t="shared" si="3"/>
        <v>0.34</v>
      </c>
      <c r="L14" s="81">
        <f t="shared" si="3"/>
        <v>0.34</v>
      </c>
      <c r="M14" s="81">
        <f t="shared" si="3"/>
        <v>0.34</v>
      </c>
      <c r="N14" s="81">
        <f t="shared" si="3"/>
        <v>0.34</v>
      </c>
      <c r="O14" s="81">
        <f t="shared" si="3"/>
        <v>0.34</v>
      </c>
      <c r="P14" s="81">
        <f t="shared" si="3"/>
        <v>0.34</v>
      </c>
      <c r="Q14" s="81">
        <f t="shared" si="3"/>
        <v>0.34</v>
      </c>
      <c r="R14" s="81">
        <f t="shared" si="3"/>
        <v>0.34</v>
      </c>
      <c r="S14" s="81">
        <f t="shared" si="3"/>
        <v>0.34</v>
      </c>
      <c r="T14" s="81">
        <f t="shared" si="3"/>
        <v>0.34</v>
      </c>
      <c r="U14" s="81">
        <f t="shared" si="3"/>
        <v>0.34</v>
      </c>
      <c r="V14" s="81">
        <f t="shared" si="3"/>
        <v>0.34</v>
      </c>
      <c r="W14" s="81">
        <f t="shared" si="3"/>
        <v>0.34</v>
      </c>
    </row>
    <row r="15" spans="1:24" x14ac:dyDescent="0.2">
      <c r="B15" s="9" t="s">
        <v>127</v>
      </c>
      <c r="C15" s="2" t="s">
        <v>123</v>
      </c>
      <c r="D15" s="283">
        <v>0.02</v>
      </c>
      <c r="E15" s="81">
        <f>D15</f>
        <v>0.02</v>
      </c>
      <c r="F15" s="81">
        <f t="shared" si="3"/>
        <v>0.02</v>
      </c>
      <c r="G15" s="81">
        <f t="shared" si="3"/>
        <v>0.02</v>
      </c>
      <c r="H15" s="81">
        <f t="shared" si="3"/>
        <v>0.02</v>
      </c>
      <c r="I15" s="81">
        <f t="shared" si="3"/>
        <v>0.02</v>
      </c>
      <c r="J15" s="81">
        <f t="shared" si="3"/>
        <v>0.02</v>
      </c>
      <c r="K15" s="81">
        <f t="shared" si="3"/>
        <v>0.02</v>
      </c>
      <c r="L15" s="81">
        <f t="shared" si="3"/>
        <v>0.02</v>
      </c>
      <c r="M15" s="81">
        <f t="shared" si="3"/>
        <v>0.02</v>
      </c>
      <c r="N15" s="81">
        <f t="shared" si="3"/>
        <v>0.02</v>
      </c>
      <c r="O15" s="81">
        <f t="shared" si="3"/>
        <v>0.02</v>
      </c>
      <c r="P15" s="81">
        <f t="shared" si="3"/>
        <v>0.02</v>
      </c>
      <c r="Q15" s="81">
        <f t="shared" si="3"/>
        <v>0.02</v>
      </c>
      <c r="R15" s="81">
        <f t="shared" si="3"/>
        <v>0.02</v>
      </c>
      <c r="S15" s="81">
        <f t="shared" si="3"/>
        <v>0.02</v>
      </c>
      <c r="T15" s="81">
        <f t="shared" si="3"/>
        <v>0.02</v>
      </c>
      <c r="U15" s="81">
        <f t="shared" si="3"/>
        <v>0.02</v>
      </c>
      <c r="V15" s="81">
        <f t="shared" si="3"/>
        <v>0.02</v>
      </c>
      <c r="W15" s="81">
        <f t="shared" si="3"/>
        <v>0.02</v>
      </c>
    </row>
    <row r="16" spans="1:24" x14ac:dyDescent="0.2">
      <c r="B16" s="9" t="s">
        <v>128</v>
      </c>
      <c r="C16" s="2" t="s">
        <v>123</v>
      </c>
      <c r="D16" s="283">
        <v>0.2</v>
      </c>
      <c r="E16" s="81">
        <f>D16</f>
        <v>0.2</v>
      </c>
      <c r="F16" s="81">
        <f t="shared" si="3"/>
        <v>0.2</v>
      </c>
      <c r="G16" s="81">
        <f t="shared" si="3"/>
        <v>0.2</v>
      </c>
      <c r="H16" s="81">
        <f t="shared" si="3"/>
        <v>0.2</v>
      </c>
      <c r="I16" s="81">
        <f t="shared" si="3"/>
        <v>0.2</v>
      </c>
      <c r="J16" s="81">
        <f t="shared" si="3"/>
        <v>0.2</v>
      </c>
      <c r="K16" s="81">
        <f t="shared" si="3"/>
        <v>0.2</v>
      </c>
      <c r="L16" s="81">
        <f t="shared" si="3"/>
        <v>0.2</v>
      </c>
      <c r="M16" s="81">
        <f t="shared" si="3"/>
        <v>0.2</v>
      </c>
      <c r="N16" s="81">
        <f t="shared" si="3"/>
        <v>0.2</v>
      </c>
      <c r="O16" s="81">
        <f t="shared" si="3"/>
        <v>0.2</v>
      </c>
      <c r="P16" s="81">
        <f t="shared" si="3"/>
        <v>0.2</v>
      </c>
      <c r="Q16" s="81">
        <f t="shared" si="3"/>
        <v>0.2</v>
      </c>
      <c r="R16" s="81">
        <f t="shared" si="3"/>
        <v>0.2</v>
      </c>
      <c r="S16" s="81">
        <f t="shared" si="3"/>
        <v>0.2</v>
      </c>
      <c r="T16" s="81">
        <f t="shared" si="3"/>
        <v>0.2</v>
      </c>
      <c r="U16" s="81">
        <f t="shared" si="3"/>
        <v>0.2</v>
      </c>
      <c r="V16" s="81">
        <f t="shared" si="3"/>
        <v>0.2</v>
      </c>
      <c r="W16" s="81">
        <f t="shared" si="3"/>
        <v>0.2</v>
      </c>
    </row>
    <row r="18" spans="1:23" x14ac:dyDescent="0.2">
      <c r="A18" s="25" t="s">
        <v>281</v>
      </c>
    </row>
    <row r="19" spans="1:23" x14ac:dyDescent="0.2">
      <c r="A19" s="25"/>
      <c r="B19" s="9" t="s">
        <v>282</v>
      </c>
      <c r="C19" s="2" t="s">
        <v>123</v>
      </c>
      <c r="D19" s="283">
        <v>0.4</v>
      </c>
      <c r="E19" s="283">
        <v>0.4</v>
      </c>
      <c r="F19" s="283">
        <v>0.4</v>
      </c>
      <c r="G19" s="283">
        <v>0.4</v>
      </c>
      <c r="H19" s="283">
        <v>0.4</v>
      </c>
      <c r="I19" s="283">
        <v>0.4</v>
      </c>
      <c r="J19" s="283">
        <v>0.4</v>
      </c>
      <c r="K19" s="283">
        <v>0.4</v>
      </c>
      <c r="L19" s="283">
        <v>0.4</v>
      </c>
      <c r="M19" s="283">
        <v>0.4</v>
      </c>
      <c r="N19" s="283">
        <v>0.4</v>
      </c>
      <c r="O19" s="283">
        <v>0.4</v>
      </c>
      <c r="P19" s="283">
        <v>0.4</v>
      </c>
      <c r="Q19" s="283">
        <v>0.4</v>
      </c>
      <c r="R19" s="283">
        <v>0.4</v>
      </c>
      <c r="S19" s="283">
        <v>0.4</v>
      </c>
      <c r="T19" s="283">
        <v>0.4</v>
      </c>
      <c r="U19" s="283">
        <v>0.4</v>
      </c>
      <c r="V19" s="283">
        <v>0.4</v>
      </c>
      <c r="W19" s="283">
        <v>0.4</v>
      </c>
    </row>
    <row r="20" spans="1:23" x14ac:dyDescent="0.2">
      <c r="B20" s="9" t="s">
        <v>519</v>
      </c>
      <c r="C20" s="2" t="s">
        <v>123</v>
      </c>
      <c r="D20" s="81">
        <f>POWER(1+D19,90/360)-1</f>
        <v>8.7757305937277152E-2</v>
      </c>
      <c r="E20" s="81">
        <f t="shared" ref="E20:W20" si="4">POWER(1+E19,90/360)-1</f>
        <v>8.7757305937277152E-2</v>
      </c>
      <c r="F20" s="81">
        <f>POWER(1+F19,90/360)-1</f>
        <v>8.7757305937277152E-2</v>
      </c>
      <c r="G20" s="81">
        <f t="shared" si="4"/>
        <v>8.7757305937277152E-2</v>
      </c>
      <c r="H20" s="81">
        <f t="shared" si="4"/>
        <v>8.7757305937277152E-2</v>
      </c>
      <c r="I20" s="81">
        <f>POWER(1+I19,90/360)-1</f>
        <v>8.7757305937277152E-2</v>
      </c>
      <c r="J20" s="81">
        <f t="shared" si="4"/>
        <v>8.7757305937277152E-2</v>
      </c>
      <c r="K20" s="81">
        <f t="shared" si="4"/>
        <v>8.7757305937277152E-2</v>
      </c>
      <c r="L20" s="81">
        <f t="shared" si="4"/>
        <v>8.7757305937277152E-2</v>
      </c>
      <c r="M20" s="81">
        <f t="shared" si="4"/>
        <v>8.7757305937277152E-2</v>
      </c>
      <c r="N20" s="81">
        <f t="shared" si="4"/>
        <v>8.7757305937277152E-2</v>
      </c>
      <c r="O20" s="81">
        <f t="shared" si="4"/>
        <v>8.7757305937277152E-2</v>
      </c>
      <c r="P20" s="81">
        <f t="shared" si="4"/>
        <v>8.7757305937277152E-2</v>
      </c>
      <c r="Q20" s="81">
        <f t="shared" si="4"/>
        <v>8.7757305937277152E-2</v>
      </c>
      <c r="R20" s="81">
        <f t="shared" si="4"/>
        <v>8.7757305937277152E-2</v>
      </c>
      <c r="S20" s="81">
        <f t="shared" si="4"/>
        <v>8.7757305937277152E-2</v>
      </c>
      <c r="T20" s="81">
        <f t="shared" si="4"/>
        <v>8.7757305937277152E-2</v>
      </c>
      <c r="U20" s="81">
        <f t="shared" si="4"/>
        <v>8.7757305937277152E-2</v>
      </c>
      <c r="V20" s="81">
        <f t="shared" si="4"/>
        <v>8.7757305937277152E-2</v>
      </c>
      <c r="W20" s="81">
        <f t="shared" si="4"/>
        <v>8.7757305937277152E-2</v>
      </c>
    </row>
    <row r="23" spans="1:23" ht="15.75" x14ac:dyDescent="0.25">
      <c r="B23" s="73" t="s">
        <v>271</v>
      </c>
      <c r="C23" s="1"/>
      <c r="D23" s="1"/>
      <c r="E23" s="1"/>
      <c r="F23" s="1"/>
    </row>
    <row r="24" spans="1:23" x14ac:dyDescent="0.2">
      <c r="B24" s="74" t="s">
        <v>272</v>
      </c>
      <c r="C24" s="321" t="s">
        <v>273</v>
      </c>
      <c r="D24" s="321"/>
      <c r="E24" s="321"/>
      <c r="F24" s="321"/>
    </row>
    <row r="25" spans="1:23" x14ac:dyDescent="0.2">
      <c r="B25" s="66" t="s">
        <v>274</v>
      </c>
      <c r="C25" s="320" t="s">
        <v>277</v>
      </c>
      <c r="D25" s="320"/>
      <c r="E25" s="320"/>
      <c r="F25" s="320"/>
    </row>
    <row r="26" spans="1:23" x14ac:dyDescent="0.2">
      <c r="B26" s="66" t="s">
        <v>275</v>
      </c>
      <c r="C26" s="320" t="s">
        <v>278</v>
      </c>
      <c r="D26" s="320"/>
      <c r="E26" s="320"/>
      <c r="F26" s="320"/>
    </row>
    <row r="27" spans="1:23" x14ac:dyDescent="0.2">
      <c r="B27" s="66" t="s">
        <v>276</v>
      </c>
      <c r="C27" s="320" t="s">
        <v>279</v>
      </c>
      <c r="D27" s="320"/>
      <c r="E27" s="320"/>
      <c r="F27" s="320"/>
    </row>
    <row r="28" spans="1:23" x14ac:dyDescent="0.2">
      <c r="B28" s="66" t="s">
        <v>399</v>
      </c>
      <c r="C28" s="320" t="s">
        <v>280</v>
      </c>
      <c r="D28" s="320"/>
      <c r="E28" s="320"/>
      <c r="F28" s="320"/>
    </row>
    <row r="29" spans="1:23" ht="13.5" x14ac:dyDescent="0.25">
      <c r="B29" s="94" t="s">
        <v>284</v>
      </c>
    </row>
  </sheetData>
  <mergeCells count="5">
    <mergeCell ref="C28:F28"/>
    <mergeCell ref="C24:F24"/>
    <mergeCell ref="C25:F25"/>
    <mergeCell ref="C26:F26"/>
    <mergeCell ref="C27:F27"/>
  </mergeCells>
  <phoneticPr fontId="0" type="noConversion"/>
  <hyperlinks>
    <hyperlink ref="B1" r:id="rId1"/>
  </hyperlinks>
  <pageMargins left="0.75" right="0.75" top="1" bottom="1" header="0.5" footer="0.5"/>
  <pageSetup paperSize="9"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85" zoomScaleNormal="85" workbookViewId="0">
      <selection activeCell="D1" sqref="D1"/>
    </sheetView>
  </sheetViews>
  <sheetFormatPr defaultRowHeight="12.75" x14ac:dyDescent="0.2"/>
  <cols>
    <col min="1" max="3" width="3.7109375" style="1" customWidth="1"/>
    <col min="4" max="4" width="35.42578125" style="1" customWidth="1"/>
    <col min="5" max="26" width="9.140625" style="1" customWidth="1"/>
    <col min="27" max="27" width="12" style="1" customWidth="1"/>
    <col min="28" max="16384" width="9.140625" style="1"/>
  </cols>
  <sheetData>
    <row r="1" spans="1:28" ht="18" x14ac:dyDescent="0.25">
      <c r="D1" s="319" t="s">
        <v>573</v>
      </c>
    </row>
    <row r="2" spans="1:28" s="2" customFormat="1" x14ac:dyDescent="0.2">
      <c r="A2" s="11" t="s">
        <v>19</v>
      </c>
      <c r="B2" s="11"/>
      <c r="C2" s="12"/>
      <c r="D2" s="12"/>
      <c r="E2" s="2" t="s">
        <v>108</v>
      </c>
      <c r="F2" s="3" t="s">
        <v>87</v>
      </c>
      <c r="G2" s="3" t="s">
        <v>88</v>
      </c>
      <c r="H2" s="3" t="s">
        <v>89</v>
      </c>
      <c r="I2" s="3" t="s">
        <v>90</v>
      </c>
      <c r="J2" s="4" t="s">
        <v>91</v>
      </c>
      <c r="K2" s="4" t="s">
        <v>92</v>
      </c>
      <c r="L2" s="4" t="s">
        <v>93</v>
      </c>
      <c r="M2" s="4" t="s">
        <v>94</v>
      </c>
      <c r="N2" s="5" t="s">
        <v>95</v>
      </c>
      <c r="O2" s="5" t="s">
        <v>96</v>
      </c>
      <c r="P2" s="5" t="s">
        <v>97</v>
      </c>
      <c r="Q2" s="5" t="s">
        <v>98</v>
      </c>
      <c r="R2" s="6" t="s">
        <v>99</v>
      </c>
      <c r="S2" s="6" t="s">
        <v>100</v>
      </c>
      <c r="T2" s="6" t="s">
        <v>101</v>
      </c>
      <c r="U2" s="6" t="s">
        <v>102</v>
      </c>
      <c r="V2" s="7" t="s">
        <v>103</v>
      </c>
      <c r="W2" s="7" t="s">
        <v>104</v>
      </c>
      <c r="X2" s="7" t="s">
        <v>105</v>
      </c>
      <c r="Y2" s="7" t="s">
        <v>106</v>
      </c>
      <c r="Z2" s="109"/>
    </row>
    <row r="3" spans="1:28" x14ac:dyDescent="0.2">
      <c r="Z3" s="109"/>
    </row>
    <row r="4" spans="1:28" s="35" customFormat="1" x14ac:dyDescent="0.2">
      <c r="A4" s="50"/>
      <c r="B4" s="51" t="s">
        <v>157</v>
      </c>
      <c r="C4" s="50"/>
      <c r="D4" s="50"/>
      <c r="E4" s="80" t="s">
        <v>117</v>
      </c>
      <c r="F4" s="17">
        <f>'Пр-во и Продажи'!E60-'Пр-во и Продажи'!E61</f>
        <v>8860.0000000000018</v>
      </c>
      <c r="G4" s="17">
        <f>'Пр-во и Продажи'!F60-'Пр-во и Продажи'!F61</f>
        <v>17411.982678785545</v>
      </c>
      <c r="H4" s="17">
        <f>'Пр-во и Продажи'!G60-'Пр-во и Продажи'!G61</f>
        <v>28927.33568789217</v>
      </c>
      <c r="I4" s="17">
        <f>'Пр-во и Продажи'!H60-'Пр-во и Продажи'!H61</f>
        <v>41173.80043534498</v>
      </c>
      <c r="J4" s="17">
        <f>'Пр-во и Продажи'!I60-'Пр-во и Продажи'!I61</f>
        <v>49747.631075204627</v>
      </c>
      <c r="K4" s="17">
        <f>'Пр-во и Продажи'!J60-'Пр-во и Продажи'!J61</f>
        <v>60438.058455269915</v>
      </c>
      <c r="L4" s="17">
        <f>'Пр-во и Продажи'!K60-'Пр-во и Продажи'!K61</f>
        <v>82232.22824588693</v>
      </c>
      <c r="M4" s="17">
        <f>'Пр-во и Продажи'!L60-'Пр-во и Продажи'!L61</f>
        <v>98796.930046537585</v>
      </c>
      <c r="N4" s="17">
        <f>'Пр-во и Продажи'!M60-'Пр-во и Продажи'!M61</f>
        <v>120330.62071672454</v>
      </c>
      <c r="O4" s="17">
        <f>'Пр-во и Продажи'!N60-'Пр-во и Продажи'!N61</f>
        <v>142884.91813533937</v>
      </c>
      <c r="P4" s="17">
        <f>'Пр-во и Продажи'!O60-'Пр-во и Продажи'!O61</f>
        <v>160192.77259864641</v>
      </c>
      <c r="Q4" s="17">
        <f>'Пр-во и Продажи'!P60-'Пр-во и Продажи'!P61</f>
        <v>179967.39571689675</v>
      </c>
      <c r="R4" s="17">
        <f>'Пр-во и Продажи'!Q60-'Пр-во и Продажи'!Q61</f>
        <v>200973.3871730864</v>
      </c>
      <c r="S4" s="17">
        <f>'Пр-во и Продажи'!R60-'Пр-во и Продажи'!R61</f>
        <v>222838.53184268533</v>
      </c>
      <c r="T4" s="17">
        <f>'Пр-во и Продажи'!S60-'Пр-во и Продажи'!S61</f>
        <v>254152.95889327</v>
      </c>
      <c r="U4" s="17">
        <f>'Пр-во и Продажи'!T60-'Пр-во и Продажи'!T61</f>
        <v>277276.39963216358</v>
      </c>
      <c r="V4" s="17">
        <f>'Пр-во и Продажи'!U60-'Пр-во и Продажи'!U61</f>
        <v>236654.86024042478</v>
      </c>
      <c r="W4" s="17">
        <f>'Пр-во и Продажи'!V60-'Пр-во и Продажи'!V61</f>
        <v>262522.57146817719</v>
      </c>
      <c r="X4" s="17">
        <f>'Пр-во и Продажи'!W60-'Пр-во и Продажи'!W61</f>
        <v>298379.5761495005</v>
      </c>
      <c r="Y4" s="17">
        <f>'Пр-во и Продажи'!X60-'Пр-во и Продажи'!X61</f>
        <v>321716.58971019543</v>
      </c>
      <c r="Z4" s="109"/>
    </row>
    <row r="5" spans="1:28" s="35" customFormat="1" x14ac:dyDescent="0.2">
      <c r="A5" s="50"/>
      <c r="B5" s="50"/>
      <c r="C5" s="50" t="s">
        <v>158</v>
      </c>
      <c r="D5" s="50"/>
      <c r="E5" s="80" t="s">
        <v>117</v>
      </c>
      <c r="F5" s="15">
        <f>SUM(F6:F10)</f>
        <v>-6117.3232679820167</v>
      </c>
      <c r="G5" s="15">
        <f t="shared" ref="G5:Y5" si="0">SUM(G6:G10)</f>
        <v>-8783.0255850468311</v>
      </c>
      <c r="H5" s="15">
        <f t="shared" si="0"/>
        <v>-11983.146837986071</v>
      </c>
      <c r="I5" s="15">
        <f t="shared" si="0"/>
        <v>-14782.631224711871</v>
      </c>
      <c r="J5" s="15">
        <f t="shared" si="0"/>
        <v>-25022.001372707458</v>
      </c>
      <c r="K5" s="15">
        <f t="shared" si="0"/>
        <v>-31021.543413472798</v>
      </c>
      <c r="L5" s="15">
        <f t="shared" si="0"/>
        <v>-44722.32876000207</v>
      </c>
      <c r="M5" s="15">
        <f t="shared" si="0"/>
        <v>-54597.601830365507</v>
      </c>
      <c r="N5" s="15">
        <f t="shared" si="0"/>
        <v>-64266.856817512526</v>
      </c>
      <c r="O5" s="15">
        <f t="shared" si="0"/>
        <v>-75179.327469960495</v>
      </c>
      <c r="P5" s="15">
        <f t="shared" si="0"/>
        <v>-82859.571493938492</v>
      </c>
      <c r="Q5" s="15">
        <f t="shared" si="0"/>
        <v>-91949.461415966711</v>
      </c>
      <c r="R5" s="15">
        <f t="shared" si="0"/>
        <v>-100249.094472618</v>
      </c>
      <c r="S5" s="15">
        <f t="shared" si="0"/>
        <v>-107797.42366113713</v>
      </c>
      <c r="T5" s="15">
        <f t="shared" si="0"/>
        <v>-116639.48822233756</v>
      </c>
      <c r="U5" s="15">
        <f t="shared" si="0"/>
        <v>-128537.83903394602</v>
      </c>
      <c r="V5" s="15">
        <f t="shared" si="0"/>
        <v>-128609.66917111378</v>
      </c>
      <c r="W5" s="15">
        <f t="shared" si="0"/>
        <v>-139185.53113117063</v>
      </c>
      <c r="X5" s="15">
        <f t="shared" si="0"/>
        <v>-151181.34436658179</v>
      </c>
      <c r="Y5" s="15">
        <f t="shared" si="0"/>
        <v>-162815.99052461283</v>
      </c>
      <c r="Z5" s="109"/>
    </row>
    <row r="6" spans="1:28" s="35" customFormat="1" x14ac:dyDescent="0.2">
      <c r="A6" s="50"/>
      <c r="B6" s="50"/>
      <c r="C6" s="50"/>
      <c r="D6" s="52" t="s">
        <v>159</v>
      </c>
      <c r="E6" s="80" t="s">
        <v>117</v>
      </c>
      <c r="F6" s="54">
        <f>-(Затраты!F32-Затраты!F33)</f>
        <v>-3840.1638361638352</v>
      </c>
      <c r="G6" s="54">
        <f>-(Затраты!G32-Затраты!G33)</f>
        <v>-6464.3212725510894</v>
      </c>
      <c r="H6" s="54">
        <f>-(Затраты!H32-Затраты!H33)</f>
        <v>-9622.1396750371186</v>
      </c>
      <c r="I6" s="54">
        <f>-(Затраты!I32-Затраты!I33)</f>
        <v>-12378.549412677859</v>
      </c>
      <c r="J6" s="54">
        <f>-(Затраты!J32-Затраты!J33)</f>
        <v>-20609.340663297735</v>
      </c>
      <c r="K6" s="54">
        <f>-(Затраты!K32-Затраты!K33)</f>
        <v>-26525.766454502187</v>
      </c>
      <c r="L6" s="54">
        <f>-(Затраты!L32-Затраты!L33)</f>
        <v>-40141.869966463695</v>
      </c>
      <c r="M6" s="54">
        <f>-(Затраты!M32-Затраты!M33)</f>
        <v>-49930.866127755231</v>
      </c>
      <c r="N6" s="54">
        <f>-(Затраты!N32-Затраты!N33)</f>
        <v>-59531.642945146552</v>
      </c>
      <c r="O6" s="54">
        <f>-(Затраты!O32-Затраты!O33)</f>
        <v>-70374.630589709923</v>
      </c>
      <c r="P6" s="54">
        <f>-(Затраты!P32-Затраты!P33)</f>
        <v>-77984.372022834286</v>
      </c>
      <c r="Q6" s="54">
        <f>-(Затраты!Q32-Затраты!Q33)</f>
        <v>-86999.14526438163</v>
      </c>
      <c r="R6" s="54">
        <f>-(Затраты!R32-Затраты!R33)</f>
        <v>-95221.026017620083</v>
      </c>
      <c r="S6" s="54">
        <f>-(Затраты!S32-Затраты!S33)</f>
        <v>-102707.90334859108</v>
      </c>
      <c r="T6" s="54">
        <f>-(Затраты!T32-Затраты!T33)</f>
        <v>-111487.76190064142</v>
      </c>
      <c r="U6" s="54">
        <f>-(Затраты!U32-Затраты!U33)</f>
        <v>-123323.14329637261</v>
      </c>
      <c r="V6" s="54">
        <f>-(Затраты!V32-Затраты!V33)</f>
        <v>-123331.23124222961</v>
      </c>
      <c r="W6" s="54">
        <f>-(Затраты!W32-Затраты!W33)</f>
        <v>-133842.56875186088</v>
      </c>
      <c r="X6" s="54">
        <f>-(Затраты!X32-Затраты!X33)</f>
        <v>-145773.06567766448</v>
      </c>
      <c r="Y6" s="54">
        <f>-(Затраты!Y32-Затраты!Y33)</f>
        <v>-157341.59394902436</v>
      </c>
      <c r="Z6" s="109"/>
      <c r="AA6" s="52"/>
      <c r="AB6" s="69"/>
    </row>
    <row r="7" spans="1:28" x14ac:dyDescent="0.2">
      <c r="A7" s="50"/>
      <c r="B7" s="50"/>
      <c r="C7" s="50"/>
      <c r="D7" s="52" t="s">
        <v>160</v>
      </c>
      <c r="E7" s="80" t="s">
        <v>117</v>
      </c>
      <c r="F7" s="54">
        <f>-Персонал!E18</f>
        <v>-1170</v>
      </c>
      <c r="G7" s="54">
        <f>-Персонал!F18</f>
        <v>-1191.346183285327</v>
      </c>
      <c r="H7" s="54">
        <f>-Персонал!G18</f>
        <v>-1213.0818191696715</v>
      </c>
      <c r="I7" s="54">
        <f>-Персонал!H18</f>
        <v>-1235.2140130603498</v>
      </c>
      <c r="J7" s="54">
        <f>-Персонал!I18</f>
        <v>-2516.9612262914343</v>
      </c>
      <c r="K7" s="54">
        <f>-Персонал!J18</f>
        <v>-2564.3709299244169</v>
      </c>
      <c r="L7" s="54">
        <f>-Персонал!K18</f>
        <v>-2612.6736469161629</v>
      </c>
      <c r="M7" s="54">
        <f>-Персонал!L18</f>
        <v>-2661.8861981450545</v>
      </c>
      <c r="N7" s="54">
        <f>-Персонал!M18</f>
        <v>-2700.9463067351126</v>
      </c>
      <c r="O7" s="54">
        <f>-Персонал!N18</f>
        <v>-2740.5795773499522</v>
      </c>
      <c r="P7" s="54">
        <f>-Персонал!O18</f>
        <v>-2780.7944204809546</v>
      </c>
      <c r="Q7" s="54">
        <f>-Персонал!P18</f>
        <v>-2821.5993700337581</v>
      </c>
      <c r="R7" s="54">
        <f>-Персонал!Q18</f>
        <v>-2856.2266989676423</v>
      </c>
      <c r="S7" s="54">
        <f>-Персонал!R18</f>
        <v>-2891.2789825998543</v>
      </c>
      <c r="T7" s="54">
        <f>-Персонал!S18</f>
        <v>-2926.761436074074</v>
      </c>
      <c r="U7" s="54">
        <f>-Персонал!T18</f>
        <v>-2962.6793385354467</v>
      </c>
      <c r="V7" s="54">
        <f>-Персонал!U18</f>
        <v>-2999.0380339160251</v>
      </c>
      <c r="W7" s="54">
        <f>-Персонал!V18</f>
        <v>-3035.8429317298478</v>
      </c>
      <c r="X7" s="54">
        <f>-Персонал!W18</f>
        <v>-3073.0995078777787</v>
      </c>
      <c r="Y7" s="54">
        <f>-Персонал!X18</f>
        <v>-3110.8133054622199</v>
      </c>
      <c r="Z7" s="109"/>
      <c r="AA7" s="52"/>
      <c r="AB7" s="69"/>
    </row>
    <row r="8" spans="1:28" x14ac:dyDescent="0.2">
      <c r="A8" s="50"/>
      <c r="B8" s="50"/>
      <c r="C8" s="50"/>
      <c r="D8" s="52" t="s">
        <v>161</v>
      </c>
      <c r="E8" s="80" t="s">
        <v>117</v>
      </c>
      <c r="F8" s="54">
        <f>-Персонал!E64</f>
        <v>-397.8</v>
      </c>
      <c r="G8" s="54">
        <f>-Персонал!F64</f>
        <v>-405.05770231701121</v>
      </c>
      <c r="H8" s="54">
        <f>-Персонал!G64</f>
        <v>-412.44781851768835</v>
      </c>
      <c r="I8" s="54">
        <f>-Персонал!H64</f>
        <v>-419.97276444051897</v>
      </c>
      <c r="J8" s="54">
        <f>-Персонал!I64</f>
        <v>-855.76681693908768</v>
      </c>
      <c r="K8" s="54">
        <f>-Персонал!J64</f>
        <v>-871.88611617430183</v>
      </c>
      <c r="L8" s="54">
        <f>-Персонал!K64</f>
        <v>-888.30903995149538</v>
      </c>
      <c r="M8" s="54">
        <f>-Персонал!L64</f>
        <v>-905.04130736931859</v>
      </c>
      <c r="N8" s="54">
        <f>-Персонал!M64</f>
        <v>-918.32174428993835</v>
      </c>
      <c r="O8" s="54">
        <f>-Персонал!N64</f>
        <v>-931.79705629898376</v>
      </c>
      <c r="P8" s="54">
        <f>-Персонал!O64</f>
        <v>-945.4701029635246</v>
      </c>
      <c r="Q8" s="54">
        <f>-Персонал!P64</f>
        <v>-959.3437858114778</v>
      </c>
      <c r="R8" s="54">
        <f>-Персонал!Q64</f>
        <v>-971.11707764899847</v>
      </c>
      <c r="S8" s="54">
        <f>-Персонал!R64</f>
        <v>-983.03485408395056</v>
      </c>
      <c r="T8" s="54">
        <f>-Персонал!S64</f>
        <v>-995.09888826518522</v>
      </c>
      <c r="U8" s="54">
        <f>-Персонал!T64</f>
        <v>-1007.310975102052</v>
      </c>
      <c r="V8" s="54">
        <f>-Персонал!U64</f>
        <v>-1019.6729315314486</v>
      </c>
      <c r="W8" s="54">
        <f>-Персонал!V64</f>
        <v>-1032.1865967881483</v>
      </c>
      <c r="X8" s="54">
        <f>-Персонал!W64</f>
        <v>-1044.8538326784449</v>
      </c>
      <c r="Y8" s="54">
        <f>-Персонал!X64</f>
        <v>-1057.6765238571547</v>
      </c>
      <c r="Z8" s="109"/>
      <c r="AA8" s="52"/>
      <c r="AB8" s="69"/>
    </row>
    <row r="9" spans="1:28" x14ac:dyDescent="0.2">
      <c r="A9" s="50"/>
      <c r="B9" s="50"/>
      <c r="C9" s="50"/>
      <c r="D9" s="52" t="s">
        <v>395</v>
      </c>
      <c r="E9" s="80" t="s">
        <v>117</v>
      </c>
      <c r="F9" s="54">
        <f>-(Персонал!E31+Персонал!E65+Затраты!F58-Затраты!F59)</f>
        <v>-709.3054545454545</v>
      </c>
      <c r="G9" s="54">
        <f>-(Персонал!F31+Персонал!F65+Затраты!G58-Затраты!G59)</f>
        <v>-722.24644962067612</v>
      </c>
      <c r="H9" s="54">
        <f>-(Персонал!G31+Персонал!G65+Затраты!H58-Затраты!H59)</f>
        <v>-735.4235479888639</v>
      </c>
      <c r="I9" s="54">
        <f>-(Персонал!H31+Персонал!H65+Затраты!I58-Затраты!I59)</f>
        <v>-748.8410572604156</v>
      </c>
      <c r="J9" s="54">
        <f>-(Персонал!I31+Персонал!I65+Затраты!J58-Затраты!J59)</f>
        <v>-1039.8786889064729</v>
      </c>
      <c r="K9" s="54">
        <f>-(Персонал!J31+Персонал!J65+Затраты!K58-Затраты!K59)</f>
        <v>-1059.4659355991646</v>
      </c>
      <c r="L9" s="54">
        <f>-(Персонал!K31+Персонал!K65+Затраты!L58-Затраты!L59)</f>
        <v>-1079.4221293979886</v>
      </c>
      <c r="M9" s="54">
        <f>-(Персонал!L31+Персонал!L65+Затраты!M58-Затраты!M59)</f>
        <v>-1099.7542198231733</v>
      </c>
      <c r="N9" s="54">
        <f>-(Персонал!M31+Персонал!M65+Затраты!N58-Затраты!N59)</f>
        <v>-1115.8918440681928</v>
      </c>
      <c r="O9" s="54">
        <f>-(Персонал!N31+Персонал!N65+Затраты!O58-Затраты!O59)</f>
        <v>-1132.266269328911</v>
      </c>
      <c r="P9" s="54">
        <f>-(Персонал!O31+Персонал!O65+Затраты!P58-Затраты!P59)</f>
        <v>-1148.8809703870054</v>
      </c>
      <c r="Q9" s="54">
        <f>-(Персонал!P31+Персонал!P65+Затраты!Q58-Затраты!Q59)</f>
        <v>-1165.7394730125641</v>
      </c>
      <c r="R9" s="54">
        <f>-(Персонал!Q31+Персонал!Q65+Затраты!R58-Затраты!R59)</f>
        <v>-1180.0457011085591</v>
      </c>
      <c r="S9" s="54">
        <f>-(Персонал!R31+Персонал!R65+Затраты!S58-Затраты!S59)</f>
        <v>-1194.5274985895433</v>
      </c>
      <c r="T9" s="54">
        <f>-(Персонал!S31+Персонал!S65+Затраты!T58-Затраты!T59)</f>
        <v>-1209.1870200841681</v>
      </c>
      <c r="U9" s="54">
        <f>-(Персонал!T31+Персонал!T65+Затраты!U58-Затраты!U59)</f>
        <v>-1224.0264466631927</v>
      </c>
      <c r="V9" s="54">
        <f>-(Персонал!U31+Персонал!U65+Затраты!V58-Затраты!V59)</f>
        <v>-1239.0479861639874</v>
      </c>
      <c r="W9" s="54">
        <f>-(Персонал!V31+Персонал!V65+Затраты!W58-Затраты!W59)</f>
        <v>-1254.253873519021</v>
      </c>
      <c r="X9" s="54">
        <f>-(Персонал!W31+Персонал!W65+Затраты!X58-Затраты!X59)</f>
        <v>-1269.6463710883772</v>
      </c>
      <c r="Y9" s="54">
        <f>-(Персонал!X31+Персонал!X65+Затраты!Y58-Затраты!Y59)</f>
        <v>-1285.2277689963528</v>
      </c>
      <c r="Z9" s="109"/>
      <c r="AA9" s="52"/>
      <c r="AB9" s="69"/>
    </row>
    <row r="10" spans="1:28" x14ac:dyDescent="0.2">
      <c r="A10" s="50"/>
      <c r="B10" s="50"/>
      <c r="C10" s="50"/>
      <c r="D10" s="52" t="s">
        <v>162</v>
      </c>
      <c r="E10" s="80" t="s">
        <v>117</v>
      </c>
      <c r="F10" s="54">
        <f>-('НА и ОС'!G116+'НА и ОС'!G42)</f>
        <v>-5.3977272727272728E-2</v>
      </c>
      <c r="G10" s="54">
        <f>-('НА и ОС'!H116+'НА и ОС'!H42)</f>
        <v>-5.3977272727272728E-2</v>
      </c>
      <c r="H10" s="54">
        <f>-('НА и ОС'!I116+'НА и ОС'!I42)</f>
        <v>-5.3977272727272728E-2</v>
      </c>
      <c r="I10" s="54">
        <f>-('НА и ОС'!J116+'НА и ОС'!J42)</f>
        <v>-5.3977272727272728E-2</v>
      </c>
      <c r="J10" s="54">
        <f>-('НА и ОС'!K116+'НА и ОС'!K42)</f>
        <v>-5.3977272727272728E-2</v>
      </c>
      <c r="K10" s="54">
        <f>-('НА и ОС'!L116+'НА и ОС'!L42)</f>
        <v>-5.3977272727272728E-2</v>
      </c>
      <c r="L10" s="54">
        <f>-('НА и ОС'!M116+'НА и ОС'!M42)</f>
        <v>-5.3977272727272728E-2</v>
      </c>
      <c r="M10" s="54">
        <f>-('НА и ОС'!N116+'НА и ОС'!N42)</f>
        <v>-5.3977272727272728E-2</v>
      </c>
      <c r="N10" s="54">
        <f>-('НА и ОС'!O116+'НА и ОС'!O42)</f>
        <v>-5.3977272727272728E-2</v>
      </c>
      <c r="O10" s="54">
        <f>-('НА и ОС'!P116+'НА и ОС'!P42)</f>
        <v>-5.3977272727272728E-2</v>
      </c>
      <c r="P10" s="54">
        <f>-('НА и ОС'!Q116+'НА и ОС'!Q42)</f>
        <v>-5.3977272727272728E-2</v>
      </c>
      <c r="Q10" s="54">
        <f>-('НА и ОС'!R116+'НА и ОС'!R42)</f>
        <v>-3.6335227272727271</v>
      </c>
      <c r="R10" s="54">
        <f>-('НА и ОС'!S116+'НА и ОС'!S42)</f>
        <v>-20.67897727272727</v>
      </c>
      <c r="S10" s="54">
        <f>-('НА и ОС'!T116+'НА и ОС'!T42)</f>
        <v>-20.67897727272727</v>
      </c>
      <c r="T10" s="54">
        <f>-('НА и ОС'!U116+'НА и ОС'!U42)</f>
        <v>-20.67897727272727</v>
      </c>
      <c r="U10" s="54">
        <f>-('НА и ОС'!V116+'НА и ОС'!V42)</f>
        <v>-20.67897727272727</v>
      </c>
      <c r="V10" s="54">
        <f>-('НА и ОС'!W116+'НА и ОС'!W42)</f>
        <v>-20.67897727272727</v>
      </c>
      <c r="W10" s="54">
        <f>-('НА и ОС'!X116+'НА и ОС'!X42)</f>
        <v>-20.67897727272727</v>
      </c>
      <c r="X10" s="54">
        <f>-('НА и ОС'!Y116+'НА и ОС'!Y42)</f>
        <v>-20.67897727272727</v>
      </c>
      <c r="Y10" s="54">
        <f>-('НА и ОС'!Z116+'НА и ОС'!Z42)</f>
        <v>-20.67897727272727</v>
      </c>
      <c r="Z10" s="109"/>
      <c r="AA10" s="52"/>
      <c r="AB10" s="69"/>
    </row>
    <row r="11" spans="1:28" x14ac:dyDescent="0.2">
      <c r="A11" s="50"/>
      <c r="B11" s="50"/>
      <c r="C11" s="50"/>
      <c r="D11" s="50"/>
      <c r="E11" s="80"/>
      <c r="Z11" s="109"/>
      <c r="AB11" s="69"/>
    </row>
    <row r="12" spans="1:28" x14ac:dyDescent="0.2">
      <c r="A12" s="50"/>
      <c r="B12" s="51" t="s">
        <v>20</v>
      </c>
      <c r="C12" s="50"/>
      <c r="D12" s="50"/>
      <c r="E12" s="80" t="s">
        <v>117</v>
      </c>
      <c r="F12" s="17">
        <f>SUM(F4:F5)</f>
        <v>2742.6767320179852</v>
      </c>
      <c r="G12" s="17">
        <f t="shared" ref="G12:Y12" si="1">SUM(G4:G5)</f>
        <v>8628.9570937387143</v>
      </c>
      <c r="H12" s="17">
        <f t="shared" si="1"/>
        <v>16944.188849906099</v>
      </c>
      <c r="I12" s="17">
        <f t="shared" si="1"/>
        <v>26391.16921063311</v>
      </c>
      <c r="J12" s="17">
        <f t="shared" si="1"/>
        <v>24725.629702497168</v>
      </c>
      <c r="K12" s="17">
        <f t="shared" si="1"/>
        <v>29416.515041797116</v>
      </c>
      <c r="L12" s="17">
        <f t="shared" si="1"/>
        <v>37509.89948588486</v>
      </c>
      <c r="M12" s="17">
        <f t="shared" si="1"/>
        <v>44199.328216172078</v>
      </c>
      <c r="N12" s="17">
        <f t="shared" si="1"/>
        <v>56063.763899212019</v>
      </c>
      <c r="O12" s="17">
        <f t="shared" si="1"/>
        <v>67705.59066537887</v>
      </c>
      <c r="P12" s="17">
        <f t="shared" si="1"/>
        <v>77333.201104707914</v>
      </c>
      <c r="Q12" s="17">
        <f t="shared" si="1"/>
        <v>88017.934300930036</v>
      </c>
      <c r="R12" s="17">
        <f t="shared" si="1"/>
        <v>100724.2927004684</v>
      </c>
      <c r="S12" s="17">
        <f t="shared" si="1"/>
        <v>115041.1081815482</v>
      </c>
      <c r="T12" s="17">
        <f t="shared" si="1"/>
        <v>137513.47067093244</v>
      </c>
      <c r="U12" s="17">
        <f t="shared" si="1"/>
        <v>148738.56059821756</v>
      </c>
      <c r="V12" s="17">
        <f t="shared" si="1"/>
        <v>108045.191069311</v>
      </c>
      <c r="W12" s="17">
        <f t="shared" si="1"/>
        <v>123337.04033700656</v>
      </c>
      <c r="X12" s="17">
        <f t="shared" si="1"/>
        <v>147198.23178291871</v>
      </c>
      <c r="Y12" s="17">
        <f t="shared" si="1"/>
        <v>158900.5991855826</v>
      </c>
      <c r="Z12" s="109"/>
      <c r="AB12" s="69"/>
    </row>
    <row r="13" spans="1:28" x14ac:dyDescent="0.2">
      <c r="A13" s="50"/>
      <c r="B13" s="50"/>
      <c r="C13" s="50" t="s">
        <v>22</v>
      </c>
      <c r="D13" s="50"/>
      <c r="E13" s="80" t="s">
        <v>117</v>
      </c>
      <c r="F13" s="15">
        <f>-(Персонал!E44+Персонал!E66+Затраты!F67-Затраты!F68)</f>
        <v>-1206</v>
      </c>
      <c r="G13" s="15">
        <f>-(Персонал!F44+Персонал!F66+Затраты!G67-Затраты!G68)</f>
        <v>-1228.0029889248754</v>
      </c>
      <c r="H13" s="15">
        <f>-(Персонал!G44+Персонал!G66+Затраты!H67-Затраты!H68)</f>
        <v>-1250.4074136056615</v>
      </c>
      <c r="I13" s="15">
        <f>-(Персонал!H44+Персонал!H66+Затраты!I67-Затраты!I68)</f>
        <v>-1273.2205980775914</v>
      </c>
      <c r="J13" s="15">
        <f>-(Персонал!I44+Персонал!I66+Затраты!J67-Затраты!J68)</f>
        <v>-1945.8046403253011</v>
      </c>
      <c r="K13" s="15">
        <f>-(Персонал!J44+Персонал!J66+Затраты!K67-Затраты!K68)</f>
        <v>-1982.4559881338764</v>
      </c>
      <c r="L13" s="15">
        <f>-(Персонал!K44+Персонал!K66+Затраты!L67-Затраты!L68)</f>
        <v>-2019.7977039621105</v>
      </c>
      <c r="M13" s="15">
        <f>-(Персонал!L44+Персонал!L66+Затраты!M67-Затраты!M68)</f>
        <v>-2057.8427916429073</v>
      </c>
      <c r="N13" s="15">
        <f>-(Персонал!M44+Персонал!M66+Затраты!N67-Затраты!N68)</f>
        <v>-2088.0392602067595</v>
      </c>
      <c r="O13" s="15">
        <f>-(Персонал!N44+Персонал!N66+Затраты!O67-Затраты!O68)</f>
        <v>-2118.6788271051555</v>
      </c>
      <c r="P13" s="15">
        <f>-(Персонал!O44+Персонал!O66+Затраты!P67-Затраты!P68)</f>
        <v>-2149.7679942948921</v>
      </c>
      <c r="Q13" s="15">
        <f>-(Персонал!P44+Персонал!P66+Затраты!Q67-Затраты!Q68)</f>
        <v>-2181.3133591414826</v>
      </c>
      <c r="R13" s="15">
        <f>-(Персонал!Q44+Персонал!Q66+Затраты!R67-Затраты!R68)</f>
        <v>-2208.0829480480616</v>
      </c>
      <c r="S13" s="15">
        <f>-(Персонал!R44+Персонал!R66+Затраты!S67-Затраты!S68)</f>
        <v>-2235.1810596252717</v>
      </c>
      <c r="T13" s="15">
        <f>-(Персонал!S44+Персонал!S66+Затраты!T67-Затраты!T68)</f>
        <v>-2262.611725580342</v>
      </c>
      <c r="U13" s="15">
        <f>-(Персонал!T44+Персонал!T66+Затраты!U67-Затраты!U68)</f>
        <v>-2290.3790270985569</v>
      </c>
      <c r="V13" s="15">
        <f>-(Персонал!U44+Персонал!U66+Затраты!V67-Затраты!V68)</f>
        <v>-2318.4870954504659</v>
      </c>
      <c r="W13" s="15">
        <f>-(Персонал!V44+Персонал!V66+Затраты!W67-Затраты!W68)</f>
        <v>-2346.9401126065363</v>
      </c>
      <c r="X13" s="15">
        <f>-(Персонал!W44+Персонал!W66+Затраты!X67-Затраты!X68)</f>
        <v>-2375.7423118593597</v>
      </c>
      <c r="Y13" s="15">
        <f>-(Персонал!X44+Персонал!X66+Затраты!Y67-Затраты!Y68)</f>
        <v>-2404.8979784534858</v>
      </c>
      <c r="Z13" s="109"/>
    </row>
    <row r="14" spans="1:28" x14ac:dyDescent="0.2">
      <c r="A14" s="50"/>
      <c r="B14" s="50"/>
      <c r="C14" s="50" t="s">
        <v>21</v>
      </c>
      <c r="D14" s="50"/>
      <c r="E14" s="80" t="s">
        <v>117</v>
      </c>
      <c r="F14" s="15">
        <f>-(Персонал!E57+Персонал!E67+Затраты!F78-Затраты!F79)</f>
        <v>-735.94545454545448</v>
      </c>
      <c r="G14" s="15">
        <f>-(Персонал!F57+Персонал!F67+Затраты!G78-Затраты!G79)</f>
        <v>-749.37248579394213</v>
      </c>
      <c r="H14" s="15">
        <f>-(Персонал!G57+Персонал!G67+Затраты!H78-Затраты!H79)</f>
        <v>-763.04448787149636</v>
      </c>
      <c r="I14" s="15">
        <f>-(Персонал!H57+Персонал!H67+Затраты!I78-Затраты!I79)</f>
        <v>-776.96593017317446</v>
      </c>
      <c r="J14" s="15">
        <f>-(Персонал!I57+Персонал!I67+Затраты!J78-Затраты!J79)</f>
        <v>-791.60092895569824</v>
      </c>
      <c r="K14" s="15">
        <f>-(Персонал!J57+Персонал!J67+Затраты!K78-Затраты!K79)</f>
        <v>-960.70261516527353</v>
      </c>
      <c r="L14" s="15">
        <f>-(Персонал!K57+Персонал!K67+Затраты!L78-Затраты!L79)</f>
        <v>-1562.1952218335832</v>
      </c>
      <c r="M14" s="15">
        <f>-(Персонал!L57+Персонал!L67+Затраты!M78-Затраты!M79)</f>
        <v>-1591.6208688043628</v>
      </c>
      <c r="N14" s="15">
        <f>-(Персонал!M57+Персонал!M67+Затраты!N78-Затраты!N79)</f>
        <v>-1614.9760685920257</v>
      </c>
      <c r="O14" s="15">
        <f>-(Персонал!N57+Персонал!N67+Затраты!O78-Затраты!O79)</f>
        <v>-1638.6739789886115</v>
      </c>
      <c r="P14" s="15">
        <f>-(Персонал!O57+Персонал!O67+Затраты!P78-Затраты!P79)</f>
        <v>-2052.4628632025415</v>
      </c>
      <c r="Q14" s="15">
        <f>-(Персонал!P57+Персонал!P67+Затраты!Q78-Затраты!Q79)</f>
        <v>-2082.5803875240617</v>
      </c>
      <c r="R14" s="15">
        <f>-(Персонал!Q57+Персонал!Q67+Затраты!R78-Затраты!R79)</f>
        <v>-2108.1383022570772</v>
      </c>
      <c r="S14" s="15">
        <f>-(Персонал!R57+Персонал!R67+Затраты!S78-Затраты!S79)</f>
        <v>-2134.0098697112126</v>
      </c>
      <c r="T14" s="15">
        <f>-(Персонал!S57+Персонал!S67+Затраты!T78-Затраты!T79)</f>
        <v>-2160.1989391061925</v>
      </c>
      <c r="U14" s="15">
        <f>-(Персонал!T57+Персонал!T67+Затраты!U78-Затраты!U79)</f>
        <v>-2186.709406900266</v>
      </c>
      <c r="V14" s="15">
        <f>-(Персонал!U57+Персонал!U67+Затраты!V78-Затраты!V79)</f>
        <v>-2213.5452173699314</v>
      </c>
      <c r="W14" s="15">
        <f>-(Персонал!V57+Персонал!V67+Затраты!W78-Затраты!W79)</f>
        <v>-2240.7103631967739</v>
      </c>
      <c r="X14" s="15">
        <f>-(Персонал!W57+Персонал!W67+Затраты!X78-Затраты!X79)</f>
        <v>-2268.2088860615027</v>
      </c>
      <c r="Y14" s="15">
        <f>-(Персонал!X57+Персонал!X67+Затраты!Y78-Затраты!Y79)</f>
        <v>-2296.0448772452792</v>
      </c>
      <c r="Z14" s="109"/>
      <c r="AB14" s="70"/>
    </row>
    <row r="15" spans="1:28" x14ac:dyDescent="0.2">
      <c r="A15" s="50"/>
      <c r="B15" s="50"/>
      <c r="C15" s="50"/>
      <c r="D15" s="50"/>
      <c r="E15" s="80"/>
      <c r="Z15" s="109"/>
    </row>
    <row r="16" spans="1:28" x14ac:dyDescent="0.2">
      <c r="A16" s="50"/>
      <c r="B16" s="51" t="s">
        <v>23</v>
      </c>
      <c r="C16" s="50"/>
      <c r="D16" s="50"/>
      <c r="E16" s="80" t="s">
        <v>117</v>
      </c>
      <c r="F16" s="17">
        <f>SUM(F12:F14)</f>
        <v>800.73127747253068</v>
      </c>
      <c r="G16" s="17">
        <f t="shared" ref="G16:Y16" si="2">SUM(G12:G14)</f>
        <v>6651.5816190198966</v>
      </c>
      <c r="H16" s="17">
        <f t="shared" si="2"/>
        <v>14930.736948428939</v>
      </c>
      <c r="I16" s="17">
        <f t="shared" si="2"/>
        <v>24340.982682382346</v>
      </c>
      <c r="J16" s="17">
        <f t="shared" si="2"/>
        <v>21988.224133216172</v>
      </c>
      <c r="K16" s="17">
        <f t="shared" si="2"/>
        <v>26473.356438497969</v>
      </c>
      <c r="L16" s="17">
        <f t="shared" si="2"/>
        <v>33927.906560089163</v>
      </c>
      <c r="M16" s="17">
        <f t="shared" si="2"/>
        <v>40549.864555724809</v>
      </c>
      <c r="N16" s="17">
        <f t="shared" si="2"/>
        <v>52360.748570413234</v>
      </c>
      <c r="O16" s="17">
        <f t="shared" si="2"/>
        <v>63948.237859285109</v>
      </c>
      <c r="P16" s="17">
        <f t="shared" si="2"/>
        <v>73130.970247210484</v>
      </c>
      <c r="Q16" s="17">
        <f t="shared" si="2"/>
        <v>83754.040554264488</v>
      </c>
      <c r="R16" s="17">
        <f t="shared" si="2"/>
        <v>96408.071450163261</v>
      </c>
      <c r="S16" s="17">
        <f t="shared" si="2"/>
        <v>110671.91725221172</v>
      </c>
      <c r="T16" s="17">
        <f t="shared" si="2"/>
        <v>133090.66000624589</v>
      </c>
      <c r="U16" s="17">
        <f t="shared" si="2"/>
        <v>144261.47216421872</v>
      </c>
      <c r="V16" s="17">
        <f t="shared" si="2"/>
        <v>103513.15875649061</v>
      </c>
      <c r="W16" s="17">
        <f t="shared" si="2"/>
        <v>118749.38986120325</v>
      </c>
      <c r="X16" s="17">
        <f t="shared" si="2"/>
        <v>142554.28058499785</v>
      </c>
      <c r="Y16" s="17">
        <f t="shared" si="2"/>
        <v>154199.65632988384</v>
      </c>
      <c r="Z16" s="109"/>
    </row>
    <row r="17" spans="1:28" x14ac:dyDescent="0.2">
      <c r="A17" s="50"/>
      <c r="B17" s="50"/>
      <c r="C17" s="50" t="s">
        <v>24</v>
      </c>
      <c r="D17" s="50"/>
      <c r="E17" s="80" t="s">
        <v>117</v>
      </c>
      <c r="F17" s="15">
        <f>-'НА и ОС'!G121</f>
        <v>0</v>
      </c>
      <c r="G17" s="15">
        <f>-'НА и ОС'!H121</f>
        <v>0</v>
      </c>
      <c r="H17" s="15">
        <f>-'НА и ОС'!I121</f>
        <v>0</v>
      </c>
      <c r="I17" s="15">
        <f>-'НА и ОС'!J121</f>
        <v>0</v>
      </c>
      <c r="J17" s="15">
        <f>-'НА и ОС'!K121</f>
        <v>0</v>
      </c>
      <c r="K17" s="15">
        <f>-'НА и ОС'!L121</f>
        <v>0</v>
      </c>
      <c r="L17" s="15">
        <f>-'НА и ОС'!M121</f>
        <v>0</v>
      </c>
      <c r="M17" s="15">
        <f>-'НА и ОС'!N121</f>
        <v>0</v>
      </c>
      <c r="N17" s="15">
        <f>-'НА и ОС'!O121</f>
        <v>0</v>
      </c>
      <c r="O17" s="15">
        <f>-'НА и ОС'!P121</f>
        <v>0</v>
      </c>
      <c r="P17" s="15">
        <f>-'НА и ОС'!Q121</f>
        <v>0</v>
      </c>
      <c r="Q17" s="15">
        <f>-'НА и ОС'!R121</f>
        <v>-2.8278409090909089</v>
      </c>
      <c r="R17" s="15">
        <f>-'НА и ОС'!S121</f>
        <v>-19.085795454545451</v>
      </c>
      <c r="S17" s="15">
        <f>-'НА и ОС'!T121</f>
        <v>-32.309659090909086</v>
      </c>
      <c r="T17" s="15">
        <f>-'НА и ОС'!U121</f>
        <v>-31.897159090909085</v>
      </c>
      <c r="U17" s="15">
        <f>-'НА и ОС'!V121</f>
        <v>-31.484659090909087</v>
      </c>
      <c r="V17" s="15">
        <f>-'НА и ОС'!W121</f>
        <v>-31.072159090909086</v>
      </c>
      <c r="W17" s="15">
        <f>-'НА и ОС'!X121</f>
        <v>-30.659659090909088</v>
      </c>
      <c r="X17" s="15">
        <f>-'НА и ОС'!Y121</f>
        <v>-30.247159090909086</v>
      </c>
      <c r="Y17" s="15">
        <f>-'НА и ОС'!Z121</f>
        <v>-29.834659090909085</v>
      </c>
      <c r="Z17" s="109"/>
    </row>
    <row r="18" spans="1:28" x14ac:dyDescent="0.2">
      <c r="A18" s="50"/>
      <c r="B18" s="50"/>
      <c r="C18" s="50" t="s">
        <v>25</v>
      </c>
      <c r="D18" s="50"/>
      <c r="E18" s="80" t="s">
        <v>117</v>
      </c>
      <c r="F18" s="15">
        <f>('Финан-е'!E21+'Финан-е'!E33+'Финан-е'!E48+'Финан-е'!E60)</f>
        <v>0</v>
      </c>
      <c r="G18" s="15">
        <f>('Финан-е'!F21+'Финан-е'!F33+'Финан-е'!F48+'Финан-е'!F60)</f>
        <v>0</v>
      </c>
      <c r="H18" s="15">
        <f>('Финан-е'!G21+'Финан-е'!G33+'Финан-е'!G48+'Финан-е'!G60)</f>
        <v>0</v>
      </c>
      <c r="I18" s="15">
        <f>('Финан-е'!H21+'Финан-е'!H33+'Финан-е'!H48+'Финан-е'!H60)</f>
        <v>0</v>
      </c>
      <c r="J18" s="15">
        <f>('Финан-е'!I21+'Финан-е'!I33+'Финан-е'!I48+'Финан-е'!I60)</f>
        <v>0</v>
      </c>
      <c r="K18" s="15">
        <f>('Финан-е'!J21+'Финан-е'!J33+'Финан-е'!J48+'Финан-е'!J60)</f>
        <v>0</v>
      </c>
      <c r="L18" s="15">
        <f>('Финан-е'!K21+'Финан-е'!K33+'Финан-е'!K48+'Финан-е'!K60)</f>
        <v>0</v>
      </c>
      <c r="M18" s="15">
        <f>('Финан-е'!L21+'Финан-е'!L33+'Финан-е'!L48+'Финан-е'!L60)</f>
        <v>7778.2</v>
      </c>
      <c r="N18" s="15">
        <f>('Финан-е'!M21+'Финан-е'!M33+'Финан-е'!M48+'Финан-е'!M60)</f>
        <v>0</v>
      </c>
      <c r="O18" s="15">
        <f>('Финан-е'!N21+'Финан-е'!N33+'Финан-е'!N48+'Финан-е'!N60)</f>
        <v>0</v>
      </c>
      <c r="P18" s="15">
        <f>('Финан-е'!O21+'Финан-е'!O33+'Финан-е'!O48+'Финан-е'!O60)</f>
        <v>0</v>
      </c>
      <c r="Q18" s="15">
        <f>('Финан-е'!P21+'Финан-е'!P33+'Финан-е'!P48+'Финан-е'!P60)</f>
        <v>0</v>
      </c>
      <c r="R18" s="15">
        <f>('Финан-е'!Q21+'Финан-е'!Q33+'Финан-е'!Q48+'Финан-е'!Q60)</f>
        <v>26401.1</v>
      </c>
      <c r="S18" s="15">
        <f>('Финан-е'!R21+'Финан-е'!R33+'Финан-е'!R48+'Финан-е'!R60)</f>
        <v>0</v>
      </c>
      <c r="T18" s="15">
        <f>('Финан-е'!S21+'Финан-е'!S33+'Финан-е'!S48+'Финан-е'!S60)</f>
        <v>0</v>
      </c>
      <c r="U18" s="15">
        <f>('Финан-е'!T21+'Финан-е'!T33+'Финан-е'!T48+'Финан-е'!T60)</f>
        <v>0</v>
      </c>
      <c r="V18" s="15">
        <f>('Финан-е'!U21+'Финан-е'!U33+'Финан-е'!U48+'Финан-е'!U60)</f>
        <v>0</v>
      </c>
      <c r="W18" s="15">
        <f>('Финан-е'!V21+'Финан-е'!V33+'Финан-е'!V48+'Финан-е'!V60)</f>
        <v>0</v>
      </c>
      <c r="X18" s="15">
        <f>('Финан-е'!W21+'Финан-е'!W33+'Финан-е'!W48+'Финан-е'!W60)</f>
        <v>0</v>
      </c>
      <c r="Y18" s="15">
        <f>('Финан-е'!X21+'Финан-е'!X33+'Финан-е'!X48+'Финан-е'!X60)</f>
        <v>0</v>
      </c>
      <c r="Z18" s="109"/>
    </row>
    <row r="19" spans="1:28" x14ac:dyDescent="0.2">
      <c r="A19" s="50"/>
      <c r="B19" s="50"/>
      <c r="C19" s="50"/>
      <c r="D19" s="50"/>
      <c r="E19" s="80"/>
      <c r="Z19" s="109"/>
    </row>
    <row r="20" spans="1:28" x14ac:dyDescent="0.2">
      <c r="A20" s="50"/>
      <c r="B20" s="51" t="s">
        <v>518</v>
      </c>
      <c r="C20" s="50"/>
      <c r="D20" s="50"/>
      <c r="E20" s="80" t="s">
        <v>117</v>
      </c>
      <c r="F20" s="17">
        <f t="shared" ref="F20:Y20" si="3">SUM(F16:F18)</f>
        <v>800.73127747253068</v>
      </c>
      <c r="G20" s="17">
        <f t="shared" si="3"/>
        <v>6651.5816190198966</v>
      </c>
      <c r="H20" s="17">
        <f t="shared" si="3"/>
        <v>14930.736948428939</v>
      </c>
      <c r="I20" s="17">
        <f t="shared" si="3"/>
        <v>24340.982682382346</v>
      </c>
      <c r="J20" s="17">
        <f t="shared" si="3"/>
        <v>21988.224133216172</v>
      </c>
      <c r="K20" s="17">
        <f t="shared" si="3"/>
        <v>26473.356438497969</v>
      </c>
      <c r="L20" s="17">
        <f t="shared" si="3"/>
        <v>33927.906560089163</v>
      </c>
      <c r="M20" s="17">
        <f t="shared" si="3"/>
        <v>48328.064555724806</v>
      </c>
      <c r="N20" s="17">
        <f t="shared" si="3"/>
        <v>52360.748570413234</v>
      </c>
      <c r="O20" s="17">
        <f t="shared" si="3"/>
        <v>63948.237859285109</v>
      </c>
      <c r="P20" s="17">
        <f t="shared" si="3"/>
        <v>73130.970247210484</v>
      </c>
      <c r="Q20" s="17">
        <f t="shared" si="3"/>
        <v>83751.212713355402</v>
      </c>
      <c r="R20" s="17">
        <f t="shared" si="3"/>
        <v>122790.0856547087</v>
      </c>
      <c r="S20" s="17">
        <f t="shared" si="3"/>
        <v>110639.6075931208</v>
      </c>
      <c r="T20" s="17">
        <f t="shared" si="3"/>
        <v>133058.76284715498</v>
      </c>
      <c r="U20" s="17">
        <f t="shared" si="3"/>
        <v>144229.98750512782</v>
      </c>
      <c r="V20" s="17">
        <f t="shared" si="3"/>
        <v>103482.0865973997</v>
      </c>
      <c r="W20" s="17">
        <f t="shared" si="3"/>
        <v>118718.73020211235</v>
      </c>
      <c r="X20" s="17">
        <f t="shared" si="3"/>
        <v>142524.03342590694</v>
      </c>
      <c r="Y20" s="17">
        <f t="shared" si="3"/>
        <v>154169.82167079294</v>
      </c>
      <c r="Z20" s="109"/>
    </row>
    <row r="21" spans="1:28" x14ac:dyDescent="0.2">
      <c r="A21" s="50"/>
      <c r="B21" s="51"/>
      <c r="C21" s="50" t="s">
        <v>517</v>
      </c>
      <c r="D21" s="50"/>
      <c r="E21" s="80" t="s">
        <v>117</v>
      </c>
      <c r="F21" s="15">
        <f>MIN(F20,0)</f>
        <v>0</v>
      </c>
      <c r="G21" s="15">
        <f>MIN(F21+G20,0)</f>
        <v>0</v>
      </c>
      <c r="H21" s="15">
        <f t="shared" ref="H21:X21" si="4">MIN(G21+H20,0)</f>
        <v>0</v>
      </c>
      <c r="I21" s="15">
        <f t="shared" si="4"/>
        <v>0</v>
      </c>
      <c r="J21" s="15">
        <f t="shared" si="4"/>
        <v>0</v>
      </c>
      <c r="K21" s="15">
        <f t="shared" si="4"/>
        <v>0</v>
      </c>
      <c r="L21" s="15">
        <f t="shared" si="4"/>
        <v>0</v>
      </c>
      <c r="M21" s="15">
        <f t="shared" si="4"/>
        <v>0</v>
      </c>
      <c r="N21" s="15">
        <f t="shared" si="4"/>
        <v>0</v>
      </c>
      <c r="O21" s="15">
        <f t="shared" si="4"/>
        <v>0</v>
      </c>
      <c r="P21" s="15">
        <f t="shared" si="4"/>
        <v>0</v>
      </c>
      <c r="Q21" s="15">
        <f t="shared" si="4"/>
        <v>0</v>
      </c>
      <c r="R21" s="15">
        <f t="shared" si="4"/>
        <v>0</v>
      </c>
      <c r="S21" s="15">
        <f t="shared" si="4"/>
        <v>0</v>
      </c>
      <c r="T21" s="15">
        <f t="shared" si="4"/>
        <v>0</v>
      </c>
      <c r="U21" s="15">
        <f t="shared" si="4"/>
        <v>0</v>
      </c>
      <c r="V21" s="15">
        <f t="shared" si="4"/>
        <v>0</v>
      </c>
      <c r="W21" s="15">
        <f t="shared" si="4"/>
        <v>0</v>
      </c>
      <c r="X21" s="15">
        <f t="shared" si="4"/>
        <v>0</v>
      </c>
      <c r="Y21" s="15">
        <f>MIN(X21+Y20,0)</f>
        <v>0</v>
      </c>
      <c r="Z21" s="109"/>
    </row>
    <row r="22" spans="1:28" x14ac:dyDescent="0.2">
      <c r="A22" s="50"/>
      <c r="B22" s="51"/>
      <c r="C22" s="50" t="s">
        <v>516</v>
      </c>
      <c r="D22" s="50"/>
      <c r="E22" s="80" t="s">
        <v>117</v>
      </c>
      <c r="F22" s="15">
        <f>IF(F21&lt;0,0,MAX(F21,0))</f>
        <v>0</v>
      </c>
      <c r="G22" s="15">
        <f>IF(G21&lt;0,0,MAX(F21+G20,0))</f>
        <v>6651.5816190198966</v>
      </c>
      <c r="H22" s="15">
        <f t="shared" ref="H22:Y22" si="5">IF(H21&lt;0,0,MAX(G21+H20,0))</f>
        <v>14930.736948428939</v>
      </c>
      <c r="I22" s="15">
        <f t="shared" si="5"/>
        <v>24340.982682382346</v>
      </c>
      <c r="J22" s="15">
        <f t="shared" si="5"/>
        <v>21988.224133216172</v>
      </c>
      <c r="K22" s="15">
        <f t="shared" si="5"/>
        <v>26473.356438497969</v>
      </c>
      <c r="L22" s="15">
        <f t="shared" si="5"/>
        <v>33927.906560089163</v>
      </c>
      <c r="M22" s="15">
        <f t="shared" si="5"/>
        <v>48328.064555724806</v>
      </c>
      <c r="N22" s="15">
        <f t="shared" si="5"/>
        <v>52360.748570413234</v>
      </c>
      <c r="O22" s="15">
        <f t="shared" si="5"/>
        <v>63948.237859285109</v>
      </c>
      <c r="P22" s="15">
        <f t="shared" si="5"/>
        <v>73130.970247210484</v>
      </c>
      <c r="Q22" s="15">
        <f t="shared" si="5"/>
        <v>83751.212713355402</v>
      </c>
      <c r="R22" s="15">
        <f t="shared" si="5"/>
        <v>122790.0856547087</v>
      </c>
      <c r="S22" s="15">
        <f t="shared" si="5"/>
        <v>110639.6075931208</v>
      </c>
      <c r="T22" s="15">
        <f t="shared" si="5"/>
        <v>133058.76284715498</v>
      </c>
      <c r="U22" s="15">
        <f t="shared" si="5"/>
        <v>144229.98750512782</v>
      </c>
      <c r="V22" s="15">
        <f t="shared" si="5"/>
        <v>103482.0865973997</v>
      </c>
      <c r="W22" s="15">
        <f t="shared" si="5"/>
        <v>118718.73020211235</v>
      </c>
      <c r="X22" s="15">
        <f t="shared" si="5"/>
        <v>142524.03342590694</v>
      </c>
      <c r="Y22" s="15">
        <f t="shared" si="5"/>
        <v>154169.82167079294</v>
      </c>
      <c r="Z22" s="109"/>
    </row>
    <row r="23" spans="1:28" x14ac:dyDescent="0.2">
      <c r="A23" s="50"/>
      <c r="B23" s="50"/>
      <c r="C23" s="50" t="s">
        <v>29</v>
      </c>
      <c r="D23" s="50"/>
      <c r="E23" s="80" t="s">
        <v>117</v>
      </c>
      <c r="F23" s="15">
        <f>IF(F22&gt;0,F22*Окружение!D16,0)</f>
        <v>0</v>
      </c>
      <c r="G23" s="15">
        <f>IF(G22&gt;0,G22*Окружение!E16,0)</f>
        <v>1330.3163238039795</v>
      </c>
      <c r="H23" s="15">
        <f>IF(H22&gt;0,H22*Окружение!F16,0)</f>
        <v>2986.1473896857879</v>
      </c>
      <c r="I23" s="15">
        <f>IF(I22&gt;0,I22*Окружение!G16,0)</f>
        <v>4868.1965364764692</v>
      </c>
      <c r="J23" s="15">
        <f>IF(J22&gt;0,J22*Окружение!H16,0)</f>
        <v>4397.6448266432344</v>
      </c>
      <c r="K23" s="15">
        <f>IF(K22&gt;0,K22*Окружение!I16,0)</f>
        <v>5294.6712876995944</v>
      </c>
      <c r="L23" s="15">
        <f>IF(L22&gt;0,L22*Окружение!J16,0)</f>
        <v>6785.5813120178327</v>
      </c>
      <c r="M23" s="15">
        <f>IF(M22&gt;0,M22*Окружение!K16,0)</f>
        <v>9665.6129111449609</v>
      </c>
      <c r="N23" s="15">
        <f>IF(N22&gt;0,N22*Окружение!L16,0)</f>
        <v>10472.149714082647</v>
      </c>
      <c r="O23" s="15">
        <f>IF(O22&gt;0,O22*Окружение!M16,0)</f>
        <v>12789.647571857022</v>
      </c>
      <c r="P23" s="15">
        <f>IF(P22&gt;0,P22*Окружение!N16,0)</f>
        <v>14626.194049442098</v>
      </c>
      <c r="Q23" s="15">
        <f>IF(Q22&gt;0,Q22*Окружение!O16,0)</f>
        <v>16750.24254267108</v>
      </c>
      <c r="R23" s="15">
        <f>IF(R22&gt;0,R22*Окружение!P16,0)</f>
        <v>24558.017130941742</v>
      </c>
      <c r="S23" s="15">
        <f>IF(S22&gt;0,S22*Окружение!Q16,0)</f>
        <v>22127.921518624164</v>
      </c>
      <c r="T23" s="15">
        <f>IF(T22&gt;0,T22*Окружение!R16,0)</f>
        <v>26611.752569430999</v>
      </c>
      <c r="U23" s="15">
        <f>IF(U22&gt;0,U22*Окружение!S16,0)</f>
        <v>28845.997501025566</v>
      </c>
      <c r="V23" s="15">
        <f>IF(V22&gt;0,V22*Окружение!T16,0)</f>
        <v>20696.41731947994</v>
      </c>
      <c r="W23" s="15">
        <f>IF(W22&gt;0,W22*Окружение!U16,0)</f>
        <v>23743.746040422469</v>
      </c>
      <c r="X23" s="15">
        <f>IF(X22&gt;0,X22*Окружение!V16,0)</f>
        <v>28504.806685181389</v>
      </c>
      <c r="Y23" s="15">
        <f>IF(Y22&gt;0,Y22*Окружение!W16,0)</f>
        <v>30833.964334158591</v>
      </c>
      <c r="Z23" s="109"/>
      <c r="AA23" s="52"/>
      <c r="AB23" s="70"/>
    </row>
    <row r="24" spans="1:28" x14ac:dyDescent="0.2">
      <c r="A24" s="50"/>
      <c r="B24" s="50"/>
      <c r="C24" s="50"/>
      <c r="D24" s="50"/>
      <c r="E24" s="80"/>
      <c r="Z24" s="109"/>
      <c r="AA24" s="52"/>
      <c r="AB24" s="70"/>
    </row>
    <row r="25" spans="1:28" x14ac:dyDescent="0.2">
      <c r="A25" s="50"/>
      <c r="B25" s="51" t="s">
        <v>30</v>
      </c>
      <c r="C25" s="50"/>
      <c r="D25" s="50"/>
      <c r="E25" s="80" t="s">
        <v>117</v>
      </c>
      <c r="F25" s="112">
        <f>F20-F23</f>
        <v>800.73127747253068</v>
      </c>
      <c r="G25" s="112">
        <f t="shared" ref="G25:Y25" si="6">G20-G23</f>
        <v>5321.2652952159169</v>
      </c>
      <c r="H25" s="112">
        <f t="shared" si="6"/>
        <v>11944.589558743151</v>
      </c>
      <c r="I25" s="112">
        <f t="shared" si="6"/>
        <v>19472.786145905877</v>
      </c>
      <c r="J25" s="112">
        <f t="shared" si="6"/>
        <v>17590.579306572938</v>
      </c>
      <c r="K25" s="112">
        <f t="shared" si="6"/>
        <v>21178.685150798374</v>
      </c>
      <c r="L25" s="112">
        <f t="shared" si="6"/>
        <v>27142.325248071331</v>
      </c>
      <c r="M25" s="112">
        <f t="shared" si="6"/>
        <v>38662.451644579844</v>
      </c>
      <c r="N25" s="112">
        <f t="shared" si="6"/>
        <v>41888.598856330587</v>
      </c>
      <c r="O25" s="112">
        <f t="shared" si="6"/>
        <v>51158.590287428087</v>
      </c>
      <c r="P25" s="112">
        <f t="shared" si="6"/>
        <v>58504.776197768384</v>
      </c>
      <c r="Q25" s="112">
        <f t="shared" si="6"/>
        <v>67000.970170684319</v>
      </c>
      <c r="R25" s="112">
        <f t="shared" si="6"/>
        <v>98232.068523766968</v>
      </c>
      <c r="S25" s="112">
        <f t="shared" si="6"/>
        <v>88511.68607449664</v>
      </c>
      <c r="T25" s="112">
        <f t="shared" si="6"/>
        <v>106447.01027772398</v>
      </c>
      <c r="U25" s="112">
        <f t="shared" si="6"/>
        <v>115383.99000410226</v>
      </c>
      <c r="V25" s="112">
        <f t="shared" si="6"/>
        <v>82785.669277919762</v>
      </c>
      <c r="W25" s="112">
        <f t="shared" si="6"/>
        <v>94974.984161689878</v>
      </c>
      <c r="X25" s="112">
        <f t="shared" si="6"/>
        <v>114019.22674072554</v>
      </c>
      <c r="Y25" s="112">
        <f t="shared" si="6"/>
        <v>123335.85733663435</v>
      </c>
      <c r="Z25" s="109"/>
      <c r="AA25" s="52"/>
      <c r="AB25" s="70"/>
    </row>
    <row r="26" spans="1:28" x14ac:dyDescent="0.2">
      <c r="A26" s="50"/>
      <c r="B26" s="50"/>
      <c r="C26" s="50" t="s">
        <v>31</v>
      </c>
      <c r="D26" s="50"/>
      <c r="E26" s="80" t="s">
        <v>117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109"/>
      <c r="AA26" s="52"/>
      <c r="AB26" s="70"/>
    </row>
    <row r="27" spans="1:28" x14ac:dyDescent="0.2">
      <c r="A27" s="50"/>
      <c r="B27" s="50"/>
      <c r="C27" s="50"/>
      <c r="D27" s="50"/>
      <c r="E27" s="80"/>
      <c r="Z27" s="109"/>
      <c r="AA27" s="52"/>
      <c r="AB27" s="70"/>
    </row>
    <row r="28" spans="1:28" x14ac:dyDescent="0.2">
      <c r="A28" s="50"/>
      <c r="B28" s="50"/>
      <c r="C28" s="55" t="s">
        <v>176</v>
      </c>
      <c r="D28" s="50"/>
      <c r="E28" s="80" t="s">
        <v>117</v>
      </c>
      <c r="F28" s="17">
        <f>SUM(F25:F26)</f>
        <v>800.73127747253068</v>
      </c>
      <c r="G28" s="17">
        <f t="shared" ref="G28:Y28" si="7">SUM(G25:G26)</f>
        <v>5321.2652952159169</v>
      </c>
      <c r="H28" s="17">
        <f t="shared" si="7"/>
        <v>11944.589558743151</v>
      </c>
      <c r="I28" s="17">
        <f t="shared" si="7"/>
        <v>19472.786145905877</v>
      </c>
      <c r="J28" s="17">
        <f t="shared" si="7"/>
        <v>17590.579306572938</v>
      </c>
      <c r="K28" s="17">
        <f t="shared" si="7"/>
        <v>21178.685150798374</v>
      </c>
      <c r="L28" s="17">
        <f t="shared" si="7"/>
        <v>27142.325248071331</v>
      </c>
      <c r="M28" s="17">
        <f t="shared" si="7"/>
        <v>38662.451644579844</v>
      </c>
      <c r="N28" s="17">
        <f t="shared" si="7"/>
        <v>41888.598856330587</v>
      </c>
      <c r="O28" s="17">
        <f t="shared" si="7"/>
        <v>51158.590287428087</v>
      </c>
      <c r="P28" s="17">
        <f t="shared" si="7"/>
        <v>58504.776197768384</v>
      </c>
      <c r="Q28" s="17">
        <f t="shared" si="7"/>
        <v>67000.970170684319</v>
      </c>
      <c r="R28" s="17">
        <f t="shared" si="7"/>
        <v>98232.068523766968</v>
      </c>
      <c r="S28" s="17">
        <f t="shared" si="7"/>
        <v>88511.68607449664</v>
      </c>
      <c r="T28" s="17">
        <f t="shared" si="7"/>
        <v>106447.01027772398</v>
      </c>
      <c r="U28" s="17">
        <f t="shared" si="7"/>
        <v>115383.99000410226</v>
      </c>
      <c r="V28" s="17">
        <f t="shared" si="7"/>
        <v>82785.669277919762</v>
      </c>
      <c r="W28" s="17">
        <f t="shared" si="7"/>
        <v>94974.984161689878</v>
      </c>
      <c r="X28" s="17">
        <f t="shared" si="7"/>
        <v>114019.22674072554</v>
      </c>
      <c r="Y28" s="17">
        <f t="shared" si="7"/>
        <v>123335.85733663435</v>
      </c>
      <c r="Z28" s="109"/>
    </row>
    <row r="29" spans="1:28" x14ac:dyDescent="0.2">
      <c r="A29" s="50"/>
      <c r="B29" s="50"/>
      <c r="C29" s="55" t="s">
        <v>177</v>
      </c>
      <c r="D29" s="50"/>
      <c r="E29" s="80" t="s">
        <v>117</v>
      </c>
      <c r="F29" s="17">
        <f>F28</f>
        <v>800.73127747253068</v>
      </c>
      <c r="G29" s="17">
        <f>F29+G28</f>
        <v>6121.9965726884475</v>
      </c>
      <c r="H29" s="17">
        <f>G29+H28</f>
        <v>18066.586131431599</v>
      </c>
      <c r="I29" s="17">
        <f t="shared" ref="I29:Y29" si="8">H29+I28</f>
        <v>37539.372277337476</v>
      </c>
      <c r="J29" s="17">
        <f t="shared" si="8"/>
        <v>55129.951583910413</v>
      </c>
      <c r="K29" s="17">
        <f t="shared" si="8"/>
        <v>76308.636734708794</v>
      </c>
      <c r="L29" s="17">
        <f t="shared" si="8"/>
        <v>103450.96198278012</v>
      </c>
      <c r="M29" s="17">
        <f t="shared" si="8"/>
        <v>142113.41362735996</v>
      </c>
      <c r="N29" s="17">
        <f t="shared" si="8"/>
        <v>184002.01248369055</v>
      </c>
      <c r="O29" s="17">
        <f t="shared" si="8"/>
        <v>235160.60277111863</v>
      </c>
      <c r="P29" s="17">
        <f t="shared" si="8"/>
        <v>293665.37896888703</v>
      </c>
      <c r="Q29" s="17">
        <f t="shared" si="8"/>
        <v>360666.34913957136</v>
      </c>
      <c r="R29" s="17">
        <f t="shared" si="8"/>
        <v>458898.41766333836</v>
      </c>
      <c r="S29" s="17">
        <f t="shared" si="8"/>
        <v>547410.10373783496</v>
      </c>
      <c r="T29" s="17">
        <f t="shared" si="8"/>
        <v>653857.11401555897</v>
      </c>
      <c r="U29" s="17">
        <f t="shared" si="8"/>
        <v>769241.1040196612</v>
      </c>
      <c r="V29" s="17">
        <f t="shared" si="8"/>
        <v>852026.77329758101</v>
      </c>
      <c r="W29" s="17">
        <f t="shared" si="8"/>
        <v>947001.75745927088</v>
      </c>
      <c r="X29" s="17">
        <f t="shared" si="8"/>
        <v>1061020.9841999963</v>
      </c>
      <c r="Y29" s="17">
        <f t="shared" si="8"/>
        <v>1184356.8415366306</v>
      </c>
      <c r="Z29" s="109"/>
    </row>
    <row r="30" spans="1:28" x14ac:dyDescent="0.2">
      <c r="A30" s="50"/>
      <c r="B30" s="50"/>
      <c r="C30" s="50"/>
      <c r="D30" s="50"/>
      <c r="Z30" s="109"/>
    </row>
    <row r="31" spans="1:28" x14ac:dyDescent="0.2">
      <c r="A31" s="50"/>
      <c r="B31" s="50"/>
      <c r="C31" s="50"/>
      <c r="D31" s="50"/>
      <c r="V31" s="56"/>
    </row>
    <row r="32" spans="1:28" x14ac:dyDescent="0.2">
      <c r="A32" s="50"/>
      <c r="B32" s="50"/>
      <c r="C32" s="50"/>
      <c r="D32" s="50"/>
      <c r="F32" s="126"/>
      <c r="G32" s="126"/>
      <c r="H32" s="126"/>
      <c r="I32" s="126"/>
      <c r="J32" s="126"/>
      <c r="K32" s="35"/>
      <c r="L32" s="35"/>
      <c r="M32" s="35"/>
      <c r="N32" s="35"/>
      <c r="O32" s="35"/>
      <c r="P32" s="35"/>
    </row>
    <row r="33" spans="6:16" x14ac:dyDescent="0.2"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6:16" x14ac:dyDescent="0.2"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6:16" x14ac:dyDescent="0.2">
      <c r="F35" s="35"/>
      <c r="G35" s="127"/>
      <c r="H35" s="127"/>
      <c r="I35" s="127"/>
      <c r="J35" s="127"/>
      <c r="K35" s="127"/>
      <c r="L35" s="127"/>
      <c r="M35" s="127"/>
      <c r="N35" s="127"/>
      <c r="O35" s="35"/>
      <c r="P35" s="35"/>
    </row>
    <row r="36" spans="6:16" x14ac:dyDescent="0.2"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6:16" x14ac:dyDescent="0.2"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6:16" x14ac:dyDescent="0.2"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6:16" x14ac:dyDescent="0.2"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6:16" x14ac:dyDescent="0.2"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6:16" x14ac:dyDescent="0.2"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6:16" x14ac:dyDescent="0.2"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</sheetData>
  <phoneticPr fontId="0" type="noConversion"/>
  <hyperlinks>
    <hyperlink ref="D1" r:id="rId1"/>
  </hyperlinks>
  <pageMargins left="0.75" right="0.75" top="1" bottom="1" header="0.5" footer="0.5"/>
  <pageSetup paperSize="9" orientation="portrait" horizontalDpi="300" verticalDpi="300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zoomScale="85" zoomScaleNormal="85" workbookViewId="0">
      <selection activeCell="D1" sqref="D1"/>
    </sheetView>
  </sheetViews>
  <sheetFormatPr defaultRowHeight="12.75" x14ac:dyDescent="0.2"/>
  <cols>
    <col min="1" max="3" width="3.7109375" style="1" customWidth="1"/>
    <col min="4" max="4" width="40.7109375" style="1" customWidth="1"/>
    <col min="5" max="5" width="9.140625" style="1" customWidth="1"/>
    <col min="6" max="6" width="9.42578125" style="1" bestFit="1" customWidth="1"/>
    <col min="7" max="7" width="9.42578125" style="1" customWidth="1"/>
    <col min="8" max="16384" width="9.140625" style="1"/>
  </cols>
  <sheetData>
    <row r="1" spans="1:25" ht="18" x14ac:dyDescent="0.25">
      <c r="D1" s="319" t="s">
        <v>573</v>
      </c>
    </row>
    <row r="2" spans="1:25" s="2" customFormat="1" x14ac:dyDescent="0.2">
      <c r="A2" s="11" t="s">
        <v>178</v>
      </c>
      <c r="B2" s="11"/>
      <c r="C2" s="12"/>
      <c r="D2" s="12"/>
      <c r="E2" s="2" t="s">
        <v>108</v>
      </c>
      <c r="F2" s="3" t="s">
        <v>87</v>
      </c>
      <c r="G2" s="3" t="s">
        <v>88</v>
      </c>
      <c r="H2" s="3" t="s">
        <v>89</v>
      </c>
      <c r="I2" s="3" t="s">
        <v>90</v>
      </c>
      <c r="J2" s="4" t="s">
        <v>91</v>
      </c>
      <c r="K2" s="4" t="s">
        <v>92</v>
      </c>
      <c r="L2" s="4" t="s">
        <v>93</v>
      </c>
      <c r="M2" s="4" t="s">
        <v>94</v>
      </c>
      <c r="N2" s="5" t="s">
        <v>95</v>
      </c>
      <c r="O2" s="5" t="s">
        <v>96</v>
      </c>
      <c r="P2" s="5" t="s">
        <v>97</v>
      </c>
      <c r="Q2" s="5" t="s">
        <v>98</v>
      </c>
      <c r="R2" s="6" t="s">
        <v>99</v>
      </c>
      <c r="S2" s="6" t="s">
        <v>100</v>
      </c>
      <c r="T2" s="6" t="s">
        <v>101</v>
      </c>
      <c r="U2" s="6" t="s">
        <v>102</v>
      </c>
      <c r="V2" s="7" t="s">
        <v>103</v>
      </c>
      <c r="W2" s="7" t="s">
        <v>104</v>
      </c>
      <c r="X2" s="7" t="s">
        <v>105</v>
      </c>
      <c r="Y2" s="7" t="s">
        <v>106</v>
      </c>
    </row>
    <row r="4" spans="1:25" x14ac:dyDescent="0.2">
      <c r="A4" s="50"/>
      <c r="B4" s="51" t="s">
        <v>179</v>
      </c>
      <c r="C4" s="50"/>
      <c r="D4" s="50"/>
      <c r="E4" s="80" t="s">
        <v>117</v>
      </c>
      <c r="F4" s="17">
        <f>SUM(F5:F9)+F20</f>
        <v>812.80798201798507</v>
      </c>
      <c r="G4" s="17">
        <f t="shared" ref="G4:Y4" si="0">SUM(G5:G9)+G20</f>
        <v>5331.6147270340998</v>
      </c>
      <c r="H4" s="17">
        <f t="shared" si="0"/>
        <v>11954.938990561335</v>
      </c>
      <c r="I4" s="17">
        <f t="shared" si="0"/>
        <v>19483.135577724053</v>
      </c>
      <c r="J4" s="17">
        <f t="shared" si="0"/>
        <v>17604.406011118386</v>
      </c>
      <c r="K4" s="17">
        <f t="shared" si="0"/>
        <v>21192.511855343822</v>
      </c>
      <c r="L4" s="17">
        <f t="shared" si="0"/>
        <v>27162.970134434967</v>
      </c>
      <c r="M4" s="17">
        <f t="shared" si="0"/>
        <v>38683.096530943491</v>
      </c>
      <c r="N4" s="17">
        <f t="shared" si="0"/>
        <v>41909.24374269422</v>
      </c>
      <c r="O4" s="17">
        <f t="shared" si="0"/>
        <v>51179.235173791712</v>
      </c>
      <c r="P4" s="17">
        <f t="shared" si="0"/>
        <v>58525.421084132002</v>
      </c>
      <c r="Q4" s="17">
        <f t="shared" si="0"/>
        <v>67025.19460250251</v>
      </c>
      <c r="R4" s="17">
        <f t="shared" si="0"/>
        <v>98266.383864676056</v>
      </c>
      <c r="S4" s="17">
        <f t="shared" si="0"/>
        <v>88532.365051769346</v>
      </c>
      <c r="T4" s="17">
        <f t="shared" si="0"/>
        <v>106467.68925499672</v>
      </c>
      <c r="U4" s="17">
        <f t="shared" si="0"/>
        <v>115404.66898137498</v>
      </c>
      <c r="V4" s="17">
        <f t="shared" si="0"/>
        <v>82806.348255192454</v>
      </c>
      <c r="W4" s="17">
        <f t="shared" si="0"/>
        <v>94995.663138962584</v>
      </c>
      <c r="X4" s="17">
        <f t="shared" si="0"/>
        <v>114039.90571799829</v>
      </c>
      <c r="Y4" s="17">
        <f t="shared" si="0"/>
        <v>123356.5363139071</v>
      </c>
    </row>
    <row r="5" spans="1:25" x14ac:dyDescent="0.2">
      <c r="A5" s="50"/>
      <c r="B5" s="50"/>
      <c r="C5" s="50" t="s">
        <v>180</v>
      </c>
      <c r="D5" s="50"/>
      <c r="E5" s="80" t="s">
        <v>117</v>
      </c>
      <c r="F5" s="15">
        <f>'Пр-во и Продажи'!E60</f>
        <v>9746.0000000000018</v>
      </c>
      <c r="G5" s="15">
        <f>'Пр-во и Продажи'!F60</f>
        <v>19153.180946664103</v>
      </c>
      <c r="H5" s="15">
        <f>'Пр-во и Продажи'!G60</f>
        <v>31820.069256681389</v>
      </c>
      <c r="I5" s="15">
        <f>'Пр-во и Продажи'!H60</f>
        <v>45291.180478879483</v>
      </c>
      <c r="J5" s="15">
        <f>'Пр-во и Продажи'!I60</f>
        <v>54722.394182725096</v>
      </c>
      <c r="K5" s="15">
        <f>'Пр-во и Продажи'!J60</f>
        <v>66481.864300796908</v>
      </c>
      <c r="L5" s="15">
        <f>'Пр-во и Продажи'!K60</f>
        <v>90455.451070475625</v>
      </c>
      <c r="M5" s="15">
        <f>'Пр-во и Продажи'!L60</f>
        <v>108676.62305119136</v>
      </c>
      <c r="N5" s="15">
        <f>'Пр-во и Продажи'!M60</f>
        <v>132363.68278839701</v>
      </c>
      <c r="O5" s="15">
        <f>'Пр-во и Продажи'!N60</f>
        <v>157173.4099488733</v>
      </c>
      <c r="P5" s="15">
        <f>'Пр-во и Продажи'!O60</f>
        <v>176212.04985851108</v>
      </c>
      <c r="Q5" s="15">
        <f>'Пр-во и Продажи'!P60</f>
        <v>197964.13528858643</v>
      </c>
      <c r="R5" s="15">
        <f>'Пр-во и Продажи'!Q60</f>
        <v>221070.72589039506</v>
      </c>
      <c r="S5" s="15">
        <f>'Пр-во и Продажи'!R60</f>
        <v>245122.38502695388</v>
      </c>
      <c r="T5" s="15">
        <f>'Пр-во и Продажи'!S60</f>
        <v>279568.25478259701</v>
      </c>
      <c r="U5" s="15">
        <f>'Пр-во и Продажи'!T60</f>
        <v>305004.03959537996</v>
      </c>
      <c r="V5" s="15">
        <f>'Пр-во и Продажи'!U60</f>
        <v>260320.34626446728</v>
      </c>
      <c r="W5" s="15">
        <f>'Пр-во и Продажи'!V60</f>
        <v>288774.82861499494</v>
      </c>
      <c r="X5" s="15">
        <f>'Пр-во и Продажи'!W60</f>
        <v>328217.53376445058</v>
      </c>
      <c r="Y5" s="15">
        <f>'Пр-во и Продажи'!X60</f>
        <v>353888.24868121499</v>
      </c>
    </row>
    <row r="6" spans="1:25" x14ac:dyDescent="0.2">
      <c r="C6" s="1" t="s">
        <v>181</v>
      </c>
      <c r="E6" s="80" t="s">
        <v>117</v>
      </c>
      <c r="F6" s="15">
        <f>-Затраты!F32</f>
        <v>-4224.180219780219</v>
      </c>
      <c r="G6" s="15">
        <f>-Затраты!G32</f>
        <v>-7110.753399806199</v>
      </c>
      <c r="H6" s="15">
        <f>-Затраты!H32</f>
        <v>-10584.353642540831</v>
      </c>
      <c r="I6" s="15">
        <f>-Затраты!I32</f>
        <v>-13616.404353945647</v>
      </c>
      <c r="J6" s="15">
        <f>-Затраты!J32</f>
        <v>-22670.274729627512</v>
      </c>
      <c r="K6" s="15">
        <f>-Затраты!K32</f>
        <v>-29178.34309995241</v>
      </c>
      <c r="L6" s="15">
        <f>-Затраты!L32</f>
        <v>-44156.056963110066</v>
      </c>
      <c r="M6" s="15">
        <f>-Затраты!M32</f>
        <v>-54923.95274053076</v>
      </c>
      <c r="N6" s="15">
        <f>-Затраты!N32</f>
        <v>-65484.807239661211</v>
      </c>
      <c r="O6" s="15">
        <f>-Затраты!O32</f>
        <v>-77412.093648680922</v>
      </c>
      <c r="P6" s="15">
        <f>-Затраты!P32</f>
        <v>-85782.80922511773</v>
      </c>
      <c r="Q6" s="15">
        <f>-Затраты!Q32</f>
        <v>-95699.059790819811</v>
      </c>
      <c r="R6" s="15">
        <f>-Затраты!R32</f>
        <v>-104743.1286193821</v>
      </c>
      <c r="S6" s="15">
        <f>-Затраты!S32</f>
        <v>-112978.6936834502</v>
      </c>
      <c r="T6" s="15">
        <f>-Затраты!T32</f>
        <v>-122636.53809070557</v>
      </c>
      <c r="U6" s="15">
        <f>-Затраты!U32</f>
        <v>-135655.45762600988</v>
      </c>
      <c r="V6" s="15">
        <f>-Затраты!V32</f>
        <v>-135664.35436645258</v>
      </c>
      <c r="W6" s="15">
        <f>-Затраты!W32</f>
        <v>-147226.82562704699</v>
      </c>
      <c r="X6" s="15">
        <f>-Затраты!X32</f>
        <v>-160350.37224543095</v>
      </c>
      <c r="Y6" s="15">
        <f>-Затраты!Y32</f>
        <v>-173075.7533439268</v>
      </c>
    </row>
    <row r="7" spans="1:25" x14ac:dyDescent="0.2">
      <c r="C7" s="1" t="s">
        <v>182</v>
      </c>
      <c r="E7" s="80" t="s">
        <v>117</v>
      </c>
      <c r="F7" s="15">
        <f>-Персонал!E61</f>
        <v>-2694</v>
      </c>
      <c r="G7" s="15">
        <f>-Персонал!F61</f>
        <v>-2743.1509553595474</v>
      </c>
      <c r="H7" s="15">
        <f>-Персонал!G61</f>
        <v>-2793.1986502932436</v>
      </c>
      <c r="I7" s="15">
        <f>-Персонал!H61</f>
        <v>-2844.1594454569081</v>
      </c>
      <c r="J7" s="15">
        <f>-Персонал!I61</f>
        <v>-4833.8563038263701</v>
      </c>
      <c r="K7" s="15">
        <f>-Персонал!J61</f>
        <v>-5039.9751738129889</v>
      </c>
      <c r="L7" s="15">
        <f>-Персонал!K61</f>
        <v>-5134.9085906698438</v>
      </c>
      <c r="M7" s="15">
        <f>-Персонал!L61</f>
        <v>-5231.6301817389331</v>
      </c>
      <c r="N7" s="15">
        <f>-Персонал!M61</f>
        <v>-5308.3983182370866</v>
      </c>
      <c r="O7" s="15">
        <f>-Персонал!N61</f>
        <v>-5386.2929385608668</v>
      </c>
      <c r="P7" s="15">
        <f>-Персонал!O61</f>
        <v>-5590.1098093770988</v>
      </c>
      <c r="Q7" s="15">
        <f>-Персонал!P61</f>
        <v>-5672.1382207858105</v>
      </c>
      <c r="R7" s="15">
        <f>-Персонал!Q61</f>
        <v>-5741.7480307452088</v>
      </c>
      <c r="S7" s="15">
        <f>-Персонал!R61</f>
        <v>-5812.2121086109883</v>
      </c>
      <c r="T7" s="15">
        <f>-Персонал!S61</f>
        <v>-5883.5409381591635</v>
      </c>
      <c r="U7" s="15">
        <f>-Персонал!T61</f>
        <v>-5955.7451318251024</v>
      </c>
      <c r="V7" s="15">
        <f>-Персонал!U61</f>
        <v>-6028.8354322824707</v>
      </c>
      <c r="W7" s="15">
        <f>-Персонал!V61</f>
        <v>-6102.8227140415402</v>
      </c>
      <c r="X7" s="15">
        <f>-Персонал!W61</f>
        <v>-6177.7179850671237</v>
      </c>
      <c r="Y7" s="15">
        <f>-Персонал!X61</f>
        <v>-6253.5323884163599</v>
      </c>
    </row>
    <row r="8" spans="1:25" x14ac:dyDescent="0.2">
      <c r="C8" s="1" t="s">
        <v>183</v>
      </c>
      <c r="E8" s="80" t="s">
        <v>117</v>
      </c>
      <c r="F8" s="15">
        <f>-(Затраты!F58+Затраты!F67+Затраты!F78)</f>
        <v>-670</v>
      </c>
      <c r="G8" s="15">
        <f>-(Затраты!G58+Затраты!G67+Затраты!G78)</f>
        <v>-682.2238827360419</v>
      </c>
      <c r="H8" s="15">
        <f>-(Затраты!H58+Затраты!H67+Затраты!H78)</f>
        <v>-694.6707853364785</v>
      </c>
      <c r="I8" s="15">
        <f>-(Затраты!I58+Затраты!I67+Затраты!I78)</f>
        <v>-707.34477670977287</v>
      </c>
      <c r="J8" s="15">
        <f>-(Затраты!J58+Затраты!J67+Затраты!J78)</f>
        <v>-739.90933971972458</v>
      </c>
      <c r="K8" s="15">
        <f>-(Затраты!K58+Затраты!K67+Затраты!K78)</f>
        <v>-753.84633729639143</v>
      </c>
      <c r="L8" s="15">
        <f>-(Затраты!L58+Затраты!L67+Затраты!L78)</f>
        <v>-1409.7822536201261</v>
      </c>
      <c r="M8" s="15">
        <f>-(Затраты!M58+Затраты!M67+Затраты!M78)</f>
        <v>-1436.3370364801103</v>
      </c>
      <c r="N8" s="15">
        <f>-(Затраты!N58+Затраты!N67+Затраты!N78)</f>
        <v>-1457.4136251997675</v>
      </c>
      <c r="O8" s="15">
        <f>-(Затраты!O58+Затраты!O67+Затраты!O78)</f>
        <v>-1478.7994885400569</v>
      </c>
      <c r="P8" s="15">
        <f>-(Затраты!P58+Затраты!P67+Затраты!P78)</f>
        <v>-1745.2921274399673</v>
      </c>
      <c r="Q8" s="15">
        <f>-(Затраты!Q58+Затраты!Q67+Затраты!Q78)</f>
        <v>-1770.9022756373936</v>
      </c>
      <c r="R8" s="15">
        <f>-(Затраты!R58+Затраты!R67+Затраты!R78)</f>
        <v>-1792.6352035149348</v>
      </c>
      <c r="S8" s="15">
        <f>-(Затраты!S58+Затраты!S67+Затраты!S78)</f>
        <v>-1814.6348429782188</v>
      </c>
      <c r="T8" s="15">
        <f>-(Затраты!T58+Затраты!T67+Затраты!T78)</f>
        <v>-1836.9044671743504</v>
      </c>
      <c r="U8" s="15">
        <f>-(Затраты!U58+Затраты!U67+Затраты!U78)</f>
        <v>-1859.4473894192638</v>
      </c>
      <c r="V8" s="15">
        <f>-(Затраты!V58+Затраты!V67+Затраты!V78)</f>
        <v>-1882.2669636906821</v>
      </c>
      <c r="W8" s="15">
        <f>-(Затраты!W58+Затраты!W67+Затраты!W78)</f>
        <v>-1905.3665851271303</v>
      </c>
      <c r="X8" s="15">
        <f>-(Затраты!X58+Затраты!X67+Затраты!X78)</f>
        <v>-1928.7496905330686</v>
      </c>
      <c r="Y8" s="15">
        <f>-(Затраты!Y58+Затраты!Y67+Затраты!Y78)</f>
        <v>-1952.4197588902273</v>
      </c>
    </row>
    <row r="9" spans="1:25" x14ac:dyDescent="0.2">
      <c r="C9" s="1" t="s">
        <v>184</v>
      </c>
      <c r="E9" s="80" t="s">
        <v>117</v>
      </c>
      <c r="F9" s="15">
        <f>-(F17+F18+F19+IF(CF!F16&gt;0, CF!F16, 0))</f>
        <v>-1345.0117982017978</v>
      </c>
      <c r="G9" s="15">
        <f>-(G17+G18+G19+IF(CF!G16&gt;0, CF!G16, 0))</f>
        <v>-3285.4379817282143</v>
      </c>
      <c r="H9" s="15">
        <f>-(H17+H18+H19+IF(CF!H16&gt;0, CF!H16, 0))</f>
        <v>-5792.9071879494995</v>
      </c>
      <c r="I9" s="15">
        <f>-(I17+I18+I19+IF(CF!I16&gt;0, CF!I16, 0))</f>
        <v>-8640.1363250431004</v>
      </c>
      <c r="J9" s="15">
        <f>-(J17+J18+J19+IF(CF!J16&gt;0, CF!J16, 0))</f>
        <v>-8873.9477984331024</v>
      </c>
      <c r="K9" s="15">
        <f>-(K17+K18+K19+IF(CF!K16&gt;0, CF!K16, 0))</f>
        <v>-10317.18783439129</v>
      </c>
      <c r="L9" s="15">
        <f>-(L17+L18+L19+IF(CF!L16&gt;0, CF!L16, 0))</f>
        <v>-12591.733128640619</v>
      </c>
      <c r="M9" s="15">
        <f>-(M17+M18+M19+IF(CF!M16&gt;0, CF!M16, 0))</f>
        <v>-16179.80656149807</v>
      </c>
      <c r="N9" s="15">
        <f>-(N17+N18+N19+IF(CF!N16&gt;0, CF!N16, 0))</f>
        <v>-18203.819862604723</v>
      </c>
      <c r="O9" s="15">
        <f>-(O17+O18+O19+IF(CF!O16&gt;0, CF!O16, 0))</f>
        <v>-21716.988699299742</v>
      </c>
      <c r="P9" s="15">
        <f>-(P17+P18+P19+IF(CF!P16&gt;0, CF!P16, 0))</f>
        <v>-24568.417612444271</v>
      </c>
      <c r="Q9" s="15">
        <f>-(Q17+Q18+Q19+IF(CF!Q16&gt;0, CF!Q16, 0))</f>
        <v>-27796.840398840912</v>
      </c>
      <c r="R9" s="15">
        <f>-(R17+R18+R19+IF(CF!R16&gt;0, CF!R16, 0))</f>
        <v>-36927.930172076754</v>
      </c>
      <c r="S9" s="15">
        <f>-(S17+S18+S19+IF(CF!S16&gt;0, CF!S16, 0))</f>
        <v>-35984.479340145132</v>
      </c>
      <c r="T9" s="15">
        <f>-(T17+T18+T19+IF(CF!T16&gt;0, CF!T16, 0))</f>
        <v>-42743.582031561207</v>
      </c>
      <c r="U9" s="15">
        <f>-(U17+U18+U19+IF(CF!U16&gt;0, CF!U16, 0))</f>
        <v>-46128.720466750718</v>
      </c>
      <c r="V9" s="15">
        <f>-(V17+V18+V19+IF(CF!V16&gt;0, CF!V16, 0))</f>
        <v>-33938.541246849098</v>
      </c>
      <c r="W9" s="15">
        <f>-(W17+W18+W19+IF(CF!W16&gt;0, CF!W16, 0))</f>
        <v>-38544.150549816695</v>
      </c>
      <c r="X9" s="15">
        <f>-(X17+X18+X19+IF(CF!X16&gt;0, CF!X16, 0))</f>
        <v>-45720.788125421168</v>
      </c>
      <c r="Y9" s="15">
        <f>-(Y17+Y18+Y19+IF(CF!Y16&gt;0, CF!Y16, 0))</f>
        <v>-49250.006876074498</v>
      </c>
    </row>
    <row r="10" spans="1:25" s="53" customFormat="1" x14ac:dyDescent="0.2">
      <c r="D10" s="53" t="s">
        <v>197</v>
      </c>
      <c r="E10" s="80"/>
      <c r="F10" s="54">
        <f>'Пр-во и Продажи'!E61</f>
        <v>886</v>
      </c>
      <c r="G10" s="54">
        <f>'Пр-во и Продажи'!F61</f>
        <v>1741.1982678785571</v>
      </c>
      <c r="H10" s="54">
        <f>'Пр-во и Продажи'!G61</f>
        <v>2892.7335687892191</v>
      </c>
      <c r="I10" s="54">
        <f>'Пр-во и Продажи'!H61</f>
        <v>4117.3800435345038</v>
      </c>
      <c r="J10" s="54">
        <f>'Пр-во и Продажи'!I61</f>
        <v>4974.7631075204699</v>
      </c>
      <c r="K10" s="54">
        <f>'Пр-во и Продажи'!J61</f>
        <v>6043.8058455269929</v>
      </c>
      <c r="L10" s="54">
        <f>'Пр-во и Продажи'!K61</f>
        <v>8223.2228245886945</v>
      </c>
      <c r="M10" s="54">
        <f>'Пр-во и Продажи'!L61</f>
        <v>9879.6930046537746</v>
      </c>
      <c r="N10" s="54">
        <f>'Пр-во и Продажи'!M61</f>
        <v>12033.062071672466</v>
      </c>
      <c r="O10" s="54">
        <f>'Пр-во и Продажи'!N61</f>
        <v>14288.491813533939</v>
      </c>
      <c r="P10" s="54">
        <f>'Пр-во и Продажи'!O61</f>
        <v>16019.27725986467</v>
      </c>
      <c r="Q10" s="54">
        <f>'Пр-во и Продажи'!P61</f>
        <v>17996.739571689686</v>
      </c>
      <c r="R10" s="54">
        <f>'Пр-во и Продажи'!Q61</f>
        <v>20097.338717308652</v>
      </c>
      <c r="S10" s="54">
        <f>'Пр-во и Продажи'!R61</f>
        <v>22283.853184268548</v>
      </c>
      <c r="T10" s="54">
        <f>'Пр-во и Продажи'!S61</f>
        <v>25415.295889327012</v>
      </c>
      <c r="U10" s="54">
        <f>'Пр-во и Продажи'!T61</f>
        <v>27727.639963216381</v>
      </c>
      <c r="V10" s="54">
        <f>'Пр-во и Продажи'!U61</f>
        <v>23665.486024042504</v>
      </c>
      <c r="W10" s="54">
        <f>'Пр-во и Продажи'!V61</f>
        <v>26252.257146817748</v>
      </c>
      <c r="X10" s="54">
        <f>'Пр-во и Продажи'!W61</f>
        <v>29837.957614950079</v>
      </c>
      <c r="Y10" s="54">
        <f>'Пр-во и Продажи'!X61</f>
        <v>32171.658971019555</v>
      </c>
    </row>
    <row r="11" spans="1:25" s="53" customFormat="1" x14ac:dyDescent="0.2">
      <c r="D11" s="53" t="s">
        <v>198</v>
      </c>
      <c r="E11" s="80"/>
      <c r="F11" s="54">
        <f>Затраты!F33+Затраты!F59+Затраты!F68+Затраты!F79+'НА и ОС'!G113+'НА и ОС'!G39</f>
        <v>456.94820179820232</v>
      </c>
      <c r="G11" s="54">
        <f>Затраты!G33+Затраты!G59+Затраты!G68+Затраты!G79+'НА и ОС'!H113+'НА и ОС'!H39</f>
        <v>718.74793477656806</v>
      </c>
      <c r="H11" s="54">
        <f>Затраты!H33+Затраты!H59+Затраты!H68+Затраты!H79+'НА и ОС'!I113+'НА и ОС'!I39</f>
        <v>1035.6613116252104</v>
      </c>
      <c r="I11" s="54">
        <f>Затраты!I33+Затраты!I59+Затраты!I68+Затраты!I79+'НА и ОС'!J113+'НА и ОС'!J39</f>
        <v>1312.4544664232219</v>
      </c>
      <c r="J11" s="54">
        <f>Затраты!J33+Затраты!J59+Затраты!J68+Затраты!J79+'НА и ОС'!K113+'НА и ОС'!K39</f>
        <v>2141.9712790315684</v>
      </c>
      <c r="K11" s="54">
        <f>Затраты!K33+Затраты!K59+Затраты!K68+Затраты!K79+'НА и ОС'!L113+'НА и ОС'!L39</f>
        <v>2734.8808579317119</v>
      </c>
      <c r="L11" s="54">
        <f>Затраты!L33+Затраты!L59+Затраты!L68+Затраты!L79+'НА и ОС'!M113+'НА и ОС'!M39</f>
        <v>4162.9399287936558</v>
      </c>
      <c r="M11" s="54">
        <f>Затраты!M33+Затраты!M59+Затраты!M68+Затраты!M79+'НА и ОС'!N113+'НА и ОС'!N39</f>
        <v>5144.2536160919035</v>
      </c>
      <c r="N11" s="54">
        <f>Затраты!N33+Затраты!N59+Затраты!N68+Затраты!N79+'НА и ОС'!O113+'НА и ОС'!O39</f>
        <v>6106.2473513510004</v>
      </c>
      <c r="O11" s="54">
        <f>Затраты!O33+Затраты!O59+Затраты!O68+Затраты!O79+'НА и ОС'!P113+'НА и ОС'!P39</f>
        <v>7192.4902852019122</v>
      </c>
      <c r="P11" s="54">
        <f>Затраты!P33+Затраты!P59+Затраты!P68+Затраты!P79+'НА и ОС'!Q113+'НА и ОС'!Q39</f>
        <v>7977.6910320507077</v>
      </c>
      <c r="Q11" s="54">
        <f>Затраты!Q33+Затраты!Q59+Затраты!Q68+Затраты!Q79+'НА и ОС'!R113+'НА и ОС'!R39</f>
        <v>8881.4965514961204</v>
      </c>
      <c r="R11" s="54">
        <f>Затраты!R33+Затраты!R59+Затраты!R68+Затраты!R79+'НА и ОС'!S113+'НА и ОС'!S39</f>
        <v>9698.7058020815584</v>
      </c>
      <c r="S11" s="54">
        <f>Затраты!S33+Затраты!S59+Затраты!S68+Затраты!S79+'НА и ОС'!T113+'НА и ОС'!T39</f>
        <v>10435.757138766225</v>
      </c>
      <c r="T11" s="54">
        <f>Затраты!T33+Затраты!T59+Затраты!T68+Затраты!T79+'НА и ОС'!U113+'НА и ОС'!U39</f>
        <v>11315.767505261823</v>
      </c>
      <c r="U11" s="54">
        <f>Затраты!U33+Затраты!U59+Затраты!U68+Затраты!U79+'НА и ОС'!V113+'НА и ОС'!V39</f>
        <v>12501.355001402662</v>
      </c>
      <c r="V11" s="54">
        <f>Затраты!V33+Затраты!V59+Затраты!V68+Затраты!V79+'НА и ОС'!W113+'НА и ОС'!W39</f>
        <v>12504.238302740299</v>
      </c>
      <c r="W11" s="54">
        <f>Затраты!W33+Затраты!W59+Затраты!W68+Затраты!W79+'НА и ОС'!X113+'НА и ОС'!X39</f>
        <v>13557.472019288563</v>
      </c>
      <c r="X11" s="54">
        <f>Затраты!X33+Затраты!X59+Затраты!X68+Затраты!X79+'НА и ОС'!Y113+'НА и ОС'!Y39</f>
        <v>14752.647448724019</v>
      </c>
      <c r="Y11" s="54">
        <f>Затраты!Y33+Затраты!Y59+Затраты!Y68+Затраты!Y79+'НА и ОС'!Z113+'НА и ОС'!Z39</f>
        <v>15911.652100256108</v>
      </c>
    </row>
    <row r="12" spans="1:25" s="146" customFormat="1" hidden="1" x14ac:dyDescent="0.2">
      <c r="D12" s="147" t="s">
        <v>304</v>
      </c>
      <c r="E12" s="80"/>
      <c r="F12" s="154">
        <f>F10-F11</f>
        <v>429.05179820179768</v>
      </c>
      <c r="G12" s="154">
        <f t="shared" ref="G12:Y12" si="1">G10-G11</f>
        <v>1022.450333101989</v>
      </c>
      <c r="H12" s="154">
        <f t="shared" si="1"/>
        <v>1857.0722571640088</v>
      </c>
      <c r="I12" s="154">
        <f t="shared" si="1"/>
        <v>2804.9255771112821</v>
      </c>
      <c r="J12" s="154">
        <f t="shared" si="1"/>
        <v>2832.7918284889015</v>
      </c>
      <c r="K12" s="154">
        <f t="shared" si="1"/>
        <v>3308.924987595281</v>
      </c>
      <c r="L12" s="154">
        <f t="shared" si="1"/>
        <v>4060.2828957950387</v>
      </c>
      <c r="M12" s="154">
        <f t="shared" si="1"/>
        <v>4735.4393885618711</v>
      </c>
      <c r="N12" s="154">
        <f t="shared" si="1"/>
        <v>5926.8147203214658</v>
      </c>
      <c r="O12" s="154">
        <f t="shared" si="1"/>
        <v>7096.0015283320272</v>
      </c>
      <c r="P12" s="154">
        <f t="shared" si="1"/>
        <v>8041.5862278139621</v>
      </c>
      <c r="Q12" s="154">
        <f t="shared" si="1"/>
        <v>9115.2430201935658</v>
      </c>
      <c r="R12" s="154">
        <f t="shared" si="1"/>
        <v>10398.632915227094</v>
      </c>
      <c r="S12" s="154">
        <f t="shared" si="1"/>
        <v>11848.096045502323</v>
      </c>
      <c r="T12" s="154">
        <f t="shared" si="1"/>
        <v>14099.528384065188</v>
      </c>
      <c r="U12" s="154">
        <f t="shared" si="1"/>
        <v>15226.284961813719</v>
      </c>
      <c r="V12" s="154">
        <f t="shared" si="1"/>
        <v>11161.247721302205</v>
      </c>
      <c r="W12" s="154">
        <f t="shared" si="1"/>
        <v>12694.785127529185</v>
      </c>
      <c r="X12" s="154">
        <f t="shared" si="1"/>
        <v>15085.31016622606</v>
      </c>
      <c r="Y12" s="154">
        <f t="shared" si="1"/>
        <v>16260.006870763447</v>
      </c>
    </row>
    <row r="13" spans="1:25" s="146" customFormat="1" hidden="1" x14ac:dyDescent="0.2">
      <c r="D13" s="147" t="s">
        <v>305</v>
      </c>
      <c r="E13" s="80"/>
      <c r="F13" s="154">
        <f>SUM($F12:F12)</f>
        <v>429.05179820179768</v>
      </c>
      <c r="G13" s="154">
        <f>SUM($F12:G12)</f>
        <v>1451.5021313037867</v>
      </c>
      <c r="H13" s="154">
        <f>SUM($F12:H12)</f>
        <v>3308.5743884677954</v>
      </c>
      <c r="I13" s="154">
        <f>SUM($F12:I12)</f>
        <v>6113.499965579078</v>
      </c>
      <c r="J13" s="154">
        <f>SUM($F12:J12)</f>
        <v>8946.2917940679799</v>
      </c>
      <c r="K13" s="154">
        <f>SUM($F12:K12)</f>
        <v>12255.216781663261</v>
      </c>
      <c r="L13" s="154">
        <f>SUM($F12:L12)</f>
        <v>16315.4996774583</v>
      </c>
      <c r="M13" s="154">
        <f>SUM($F12:M12)</f>
        <v>21050.939066020172</v>
      </c>
      <c r="N13" s="154">
        <f>SUM($F12:N12)</f>
        <v>26977.753786341636</v>
      </c>
      <c r="O13" s="154">
        <f>SUM($F12:O12)</f>
        <v>34073.755314673661</v>
      </c>
      <c r="P13" s="154">
        <f>SUM($F12:P12)</f>
        <v>42115.341542487622</v>
      </c>
      <c r="Q13" s="154">
        <f>SUM($F12:Q12)</f>
        <v>51230.584562681186</v>
      </c>
      <c r="R13" s="154">
        <f>SUM($F12:R12)</f>
        <v>61629.217477908278</v>
      </c>
      <c r="S13" s="154">
        <f>SUM($F12:S12)</f>
        <v>73477.313523410601</v>
      </c>
      <c r="T13" s="154">
        <f>SUM($F12:T12)</f>
        <v>87576.841907475784</v>
      </c>
      <c r="U13" s="154">
        <f>SUM($F12:U12)</f>
        <v>102803.1268692895</v>
      </c>
      <c r="V13" s="154">
        <f>SUM($F12:V12)</f>
        <v>113964.3745905917</v>
      </c>
      <c r="W13" s="154">
        <f>SUM($F12:W12)</f>
        <v>126659.15971812089</v>
      </c>
      <c r="X13" s="154">
        <f>SUM($F12:X12)</f>
        <v>141744.46988434694</v>
      </c>
      <c r="Y13" s="154">
        <f>SUM($F12:Y12)</f>
        <v>158004.47675511037</v>
      </c>
    </row>
    <row r="14" spans="1:25" s="146" customFormat="1" hidden="1" x14ac:dyDescent="0.2">
      <c r="D14" s="146" t="s">
        <v>306</v>
      </c>
      <c r="E14" s="80"/>
      <c r="F14" s="154">
        <f t="shared" ref="F14:X14" si="2">IF(F13&lt;0, 0, F13)</f>
        <v>429.05179820179768</v>
      </c>
      <c r="G14" s="154">
        <f t="shared" si="2"/>
        <v>1451.5021313037867</v>
      </c>
      <c r="H14" s="154">
        <f t="shared" si="2"/>
        <v>3308.5743884677954</v>
      </c>
      <c r="I14" s="154">
        <f t="shared" si="2"/>
        <v>6113.499965579078</v>
      </c>
      <c r="J14" s="154">
        <f t="shared" si="2"/>
        <v>8946.2917940679799</v>
      </c>
      <c r="K14" s="154">
        <f t="shared" si="2"/>
        <v>12255.216781663261</v>
      </c>
      <c r="L14" s="154">
        <f t="shared" si="2"/>
        <v>16315.4996774583</v>
      </c>
      <c r="M14" s="154">
        <f t="shared" si="2"/>
        <v>21050.939066020172</v>
      </c>
      <c r="N14" s="154">
        <f t="shared" si="2"/>
        <v>26977.753786341636</v>
      </c>
      <c r="O14" s="154">
        <f t="shared" si="2"/>
        <v>34073.755314673661</v>
      </c>
      <c r="P14" s="154">
        <f t="shared" si="2"/>
        <v>42115.341542487622</v>
      </c>
      <c r="Q14" s="154">
        <f t="shared" si="2"/>
        <v>51230.584562681186</v>
      </c>
      <c r="R14" s="154">
        <f t="shared" si="2"/>
        <v>61629.217477908278</v>
      </c>
      <c r="S14" s="154">
        <f t="shared" si="2"/>
        <v>73477.313523410601</v>
      </c>
      <c r="T14" s="154">
        <f t="shared" si="2"/>
        <v>87576.841907475784</v>
      </c>
      <c r="U14" s="154">
        <f t="shared" si="2"/>
        <v>102803.1268692895</v>
      </c>
      <c r="V14" s="154">
        <f t="shared" si="2"/>
        <v>113964.3745905917</v>
      </c>
      <c r="W14" s="154">
        <f t="shared" si="2"/>
        <v>126659.15971812089</v>
      </c>
      <c r="X14" s="154">
        <f t="shared" si="2"/>
        <v>141744.46988434694</v>
      </c>
      <c r="Y14" s="154">
        <f>IF(Y13&lt;0, 0, Y13)</f>
        <v>158004.47675511037</v>
      </c>
    </row>
    <row r="15" spans="1:25" s="146" customFormat="1" hidden="1" x14ac:dyDescent="0.2">
      <c r="D15" s="146" t="s">
        <v>306</v>
      </c>
      <c r="E15" s="80"/>
      <c r="F15" s="154">
        <f>F14-0</f>
        <v>429.05179820179768</v>
      </c>
      <c r="G15" s="154">
        <f t="shared" ref="G15:X15" si="3">G14-F14</f>
        <v>1022.4503331019889</v>
      </c>
      <c r="H15" s="154">
        <f t="shared" si="3"/>
        <v>1857.0722571640088</v>
      </c>
      <c r="I15" s="154">
        <f t="shared" si="3"/>
        <v>2804.9255771112826</v>
      </c>
      <c r="J15" s="154">
        <f t="shared" si="3"/>
        <v>2832.791828488902</v>
      </c>
      <c r="K15" s="154">
        <f t="shared" si="3"/>
        <v>3308.924987595281</v>
      </c>
      <c r="L15" s="154">
        <f t="shared" si="3"/>
        <v>4060.2828957950387</v>
      </c>
      <c r="M15" s="154">
        <f t="shared" si="3"/>
        <v>4735.439388561872</v>
      </c>
      <c r="N15" s="154">
        <f t="shared" si="3"/>
        <v>5926.8147203214648</v>
      </c>
      <c r="O15" s="154">
        <f t="shared" si="3"/>
        <v>7096.0015283320245</v>
      </c>
      <c r="P15" s="154">
        <f t="shared" si="3"/>
        <v>8041.5862278139612</v>
      </c>
      <c r="Q15" s="154">
        <f t="shared" si="3"/>
        <v>9115.243020193564</v>
      </c>
      <c r="R15" s="154">
        <f t="shared" si="3"/>
        <v>10398.632915227092</v>
      </c>
      <c r="S15" s="154">
        <f t="shared" si="3"/>
        <v>11848.096045502323</v>
      </c>
      <c r="T15" s="154">
        <f t="shared" si="3"/>
        <v>14099.528384065183</v>
      </c>
      <c r="U15" s="154">
        <f t="shared" si="3"/>
        <v>15226.284961813712</v>
      </c>
      <c r="V15" s="154">
        <f t="shared" si="3"/>
        <v>11161.247721302207</v>
      </c>
      <c r="W15" s="154">
        <f t="shared" si="3"/>
        <v>12694.785127529191</v>
      </c>
      <c r="X15" s="154">
        <f t="shared" si="3"/>
        <v>15085.310166226045</v>
      </c>
      <c r="Y15" s="154">
        <f>Y14-X14</f>
        <v>16260.006870763435</v>
      </c>
    </row>
    <row r="16" spans="1:25" s="53" customFormat="1" x14ac:dyDescent="0.2">
      <c r="D16" s="53" t="s">
        <v>307</v>
      </c>
      <c r="E16" s="80"/>
      <c r="F16" s="54">
        <f>IF(F13&lt;0, F13, F15)</f>
        <v>429.05179820179768</v>
      </c>
      <c r="G16" s="54">
        <f t="shared" ref="G16:Y16" si="4">IF(G13&lt;0, G13, G15)</f>
        <v>1022.4503331019889</v>
      </c>
      <c r="H16" s="54">
        <f t="shared" si="4"/>
        <v>1857.0722571640088</v>
      </c>
      <c r="I16" s="54">
        <f t="shared" si="4"/>
        <v>2804.9255771112826</v>
      </c>
      <c r="J16" s="54">
        <f t="shared" si="4"/>
        <v>2832.791828488902</v>
      </c>
      <c r="K16" s="54">
        <f t="shared" si="4"/>
        <v>3308.924987595281</v>
      </c>
      <c r="L16" s="54">
        <f t="shared" si="4"/>
        <v>4060.2828957950387</v>
      </c>
      <c r="M16" s="54">
        <f t="shared" si="4"/>
        <v>4735.439388561872</v>
      </c>
      <c r="N16" s="54">
        <f t="shared" si="4"/>
        <v>5926.8147203214648</v>
      </c>
      <c r="O16" s="54">
        <f t="shared" si="4"/>
        <v>7096.0015283320245</v>
      </c>
      <c r="P16" s="54">
        <f t="shared" si="4"/>
        <v>8041.5862278139612</v>
      </c>
      <c r="Q16" s="54">
        <f t="shared" si="4"/>
        <v>9115.243020193564</v>
      </c>
      <c r="R16" s="54">
        <f t="shared" si="4"/>
        <v>10398.632915227092</v>
      </c>
      <c r="S16" s="54">
        <f t="shared" si="4"/>
        <v>11848.096045502323</v>
      </c>
      <c r="T16" s="54">
        <f t="shared" si="4"/>
        <v>14099.528384065183</v>
      </c>
      <c r="U16" s="54">
        <f t="shared" si="4"/>
        <v>15226.284961813712</v>
      </c>
      <c r="V16" s="54">
        <f t="shared" si="4"/>
        <v>11161.247721302207</v>
      </c>
      <c r="W16" s="54">
        <f t="shared" si="4"/>
        <v>12694.785127529191</v>
      </c>
      <c r="X16" s="54">
        <f t="shared" si="4"/>
        <v>15085.310166226045</v>
      </c>
      <c r="Y16" s="54">
        <f t="shared" si="4"/>
        <v>16260.006870763435</v>
      </c>
    </row>
    <row r="17" spans="2:25" s="53" customFormat="1" x14ac:dyDescent="0.2">
      <c r="D17" s="53" t="s">
        <v>572</v>
      </c>
      <c r="E17" s="80"/>
      <c r="F17" s="54">
        <f>Персонал!E68</f>
        <v>915.96</v>
      </c>
      <c r="G17" s="54">
        <f>Персонал!F68</f>
        <v>932.67132482224633</v>
      </c>
      <c r="H17" s="54">
        <f>Персонал!G68</f>
        <v>949.68754109970291</v>
      </c>
      <c r="I17" s="54">
        <f>Персонал!H68</f>
        <v>967.0142114553488</v>
      </c>
      <c r="J17" s="54">
        <f>Персонал!I68</f>
        <v>1643.5111433009658</v>
      </c>
      <c r="K17" s="54">
        <f>Персонал!J68</f>
        <v>1713.5915590964162</v>
      </c>
      <c r="L17" s="54">
        <f>Персонал!K68</f>
        <v>1745.8689208277467</v>
      </c>
      <c r="M17" s="54">
        <f>Персонал!L68</f>
        <v>1778.7542617912372</v>
      </c>
      <c r="N17" s="54">
        <f>Персонал!M68</f>
        <v>1804.8554282006094</v>
      </c>
      <c r="O17" s="54">
        <f>Персонал!N68</f>
        <v>1831.339599110695</v>
      </c>
      <c r="P17" s="54">
        <f>Персонал!O68</f>
        <v>1900.6373351882137</v>
      </c>
      <c r="Q17" s="54">
        <f>Персонал!P68</f>
        <v>1928.5269950671759</v>
      </c>
      <c r="R17" s="54">
        <f>Персонал!Q68</f>
        <v>1952.1943304533711</v>
      </c>
      <c r="S17" s="54">
        <f>Персонал!R68</f>
        <v>1976.1521169277362</v>
      </c>
      <c r="T17" s="54">
        <f>Персонал!S68</f>
        <v>2000.4039189741156</v>
      </c>
      <c r="U17" s="54">
        <f>Персонал!T68</f>
        <v>2024.9533448205354</v>
      </c>
      <c r="V17" s="54">
        <f>Персонал!U68</f>
        <v>2049.8040469760404</v>
      </c>
      <c r="W17" s="54">
        <f>Персонал!V68</f>
        <v>2074.9597227741237</v>
      </c>
      <c r="X17" s="54">
        <f>Персонал!W68</f>
        <v>2100.4241149228224</v>
      </c>
      <c r="Y17" s="54">
        <f>Персонал!X68</f>
        <v>2126.2010120615623</v>
      </c>
    </row>
    <row r="18" spans="2:25" s="53" customFormat="1" x14ac:dyDescent="0.2">
      <c r="D18" s="53" t="s">
        <v>127</v>
      </c>
      <c r="E18" s="80"/>
      <c r="F18" s="54">
        <f>'НА и ОС'!G121</f>
        <v>0</v>
      </c>
      <c r="G18" s="54">
        <f>'НА и ОС'!H121</f>
        <v>0</v>
      </c>
      <c r="H18" s="54">
        <f>'НА и ОС'!I121</f>
        <v>0</v>
      </c>
      <c r="I18" s="54">
        <f>'НА и ОС'!J121</f>
        <v>0</v>
      </c>
      <c r="J18" s="54">
        <f>'НА и ОС'!K121</f>
        <v>0</v>
      </c>
      <c r="K18" s="54">
        <f>'НА и ОС'!L121</f>
        <v>0</v>
      </c>
      <c r="L18" s="54">
        <f>'НА и ОС'!M121</f>
        <v>0</v>
      </c>
      <c r="M18" s="54">
        <f>'НА и ОС'!N121</f>
        <v>0</v>
      </c>
      <c r="N18" s="54">
        <f>'НА и ОС'!O121</f>
        <v>0</v>
      </c>
      <c r="O18" s="54">
        <f>'НА и ОС'!P121</f>
        <v>0</v>
      </c>
      <c r="P18" s="54">
        <f>'НА и ОС'!Q121</f>
        <v>0</v>
      </c>
      <c r="Q18" s="54">
        <f>'НА и ОС'!R121</f>
        <v>2.8278409090909089</v>
      </c>
      <c r="R18" s="54">
        <f>'НА и ОС'!S121</f>
        <v>19.085795454545451</v>
      </c>
      <c r="S18" s="54">
        <f>'НА и ОС'!T121</f>
        <v>32.309659090909086</v>
      </c>
      <c r="T18" s="54">
        <f>'НА и ОС'!U121</f>
        <v>31.897159090909085</v>
      </c>
      <c r="U18" s="54">
        <f>'НА и ОС'!V121</f>
        <v>31.484659090909087</v>
      </c>
      <c r="V18" s="54">
        <f>'НА и ОС'!W121</f>
        <v>31.072159090909086</v>
      </c>
      <c r="W18" s="54">
        <f>'НА и ОС'!X121</f>
        <v>30.659659090909088</v>
      </c>
      <c r="X18" s="54">
        <f>'НА и ОС'!Y121</f>
        <v>30.247159090909086</v>
      </c>
      <c r="Y18" s="54">
        <f>'НА и ОС'!Z121</f>
        <v>29.834659090909085</v>
      </c>
    </row>
    <row r="19" spans="2:25" s="53" customFormat="1" x14ac:dyDescent="0.2">
      <c r="D19" s="53" t="s">
        <v>128</v>
      </c>
      <c r="E19" s="80"/>
      <c r="F19" s="54">
        <f>'Форма 2'!F23</f>
        <v>0</v>
      </c>
      <c r="G19" s="54">
        <f>'Форма 2'!G23</f>
        <v>1330.3163238039795</v>
      </c>
      <c r="H19" s="54">
        <f>'Форма 2'!H23</f>
        <v>2986.1473896857879</v>
      </c>
      <c r="I19" s="54">
        <f>'Форма 2'!I23</f>
        <v>4868.1965364764692</v>
      </c>
      <c r="J19" s="54">
        <f>'Форма 2'!J23</f>
        <v>4397.6448266432344</v>
      </c>
      <c r="K19" s="54">
        <f>'Форма 2'!K23</f>
        <v>5294.6712876995944</v>
      </c>
      <c r="L19" s="54">
        <f>'Форма 2'!L23</f>
        <v>6785.5813120178327</v>
      </c>
      <c r="M19" s="54">
        <f>'Форма 2'!M23</f>
        <v>9665.6129111449609</v>
      </c>
      <c r="N19" s="54">
        <f>'Форма 2'!N23</f>
        <v>10472.149714082647</v>
      </c>
      <c r="O19" s="54">
        <f>'Форма 2'!O23</f>
        <v>12789.647571857022</v>
      </c>
      <c r="P19" s="54">
        <f>'Форма 2'!P23</f>
        <v>14626.194049442098</v>
      </c>
      <c r="Q19" s="54">
        <f>'Форма 2'!Q23</f>
        <v>16750.24254267108</v>
      </c>
      <c r="R19" s="54">
        <f>'Форма 2'!R23</f>
        <v>24558.017130941742</v>
      </c>
      <c r="S19" s="54">
        <f>'Форма 2'!S23</f>
        <v>22127.921518624164</v>
      </c>
      <c r="T19" s="54">
        <f>'Форма 2'!T23</f>
        <v>26611.752569430999</v>
      </c>
      <c r="U19" s="54">
        <f>'Форма 2'!U23</f>
        <v>28845.997501025566</v>
      </c>
      <c r="V19" s="54">
        <f>'Форма 2'!V23</f>
        <v>20696.41731947994</v>
      </c>
      <c r="W19" s="54">
        <f>'Форма 2'!W23</f>
        <v>23743.746040422469</v>
      </c>
      <c r="X19" s="54">
        <f>'Форма 2'!X23</f>
        <v>28504.806685181389</v>
      </c>
      <c r="Y19" s="54">
        <f>'Форма 2'!Y23</f>
        <v>30833.964334158591</v>
      </c>
    </row>
    <row r="20" spans="2:25" x14ac:dyDescent="0.2">
      <c r="C20" s="1" t="s">
        <v>185</v>
      </c>
      <c r="E20" s="80" t="s">
        <v>117</v>
      </c>
      <c r="F20" s="15">
        <f>('Финан-е'!E21+'Финан-е'!E33+'Финан-е'!E48+'Финан-е'!E60)</f>
        <v>0</v>
      </c>
      <c r="G20" s="15">
        <f>('Финан-е'!F21+'Финан-е'!F33+'Финан-е'!F48+'Финан-е'!F60)</f>
        <v>0</v>
      </c>
      <c r="H20" s="15">
        <f>('Финан-е'!G21+'Финан-е'!G33+'Финан-е'!G48+'Финан-е'!G60)</f>
        <v>0</v>
      </c>
      <c r="I20" s="15">
        <f>('Финан-е'!H21+'Финан-е'!H33+'Финан-е'!H48+'Финан-е'!H60)</f>
        <v>0</v>
      </c>
      <c r="J20" s="15">
        <f>('Финан-е'!I21+'Финан-е'!I33+'Финан-е'!I48+'Финан-е'!I60)</f>
        <v>0</v>
      </c>
      <c r="K20" s="15">
        <f>('Финан-е'!J21+'Финан-е'!J33+'Финан-е'!J48+'Финан-е'!J60)</f>
        <v>0</v>
      </c>
      <c r="L20" s="15">
        <f>('Финан-е'!K21+'Финан-е'!K33+'Финан-е'!K48+'Финан-е'!K60)</f>
        <v>0</v>
      </c>
      <c r="M20" s="15">
        <f>('Финан-е'!L21+'Финан-е'!L33+'Финан-е'!L48+'Финан-е'!L60)</f>
        <v>7778.2</v>
      </c>
      <c r="N20" s="15">
        <f>('Финан-е'!M21+'Финан-е'!M33+'Финан-е'!M48+'Финан-е'!M60)</f>
        <v>0</v>
      </c>
      <c r="O20" s="15">
        <f>('Финан-е'!N21+'Финан-е'!N33+'Финан-е'!N48+'Финан-е'!N60)</f>
        <v>0</v>
      </c>
      <c r="P20" s="15">
        <f>('Финан-е'!O21+'Финан-е'!O33+'Финан-е'!O48+'Финан-е'!O60)</f>
        <v>0</v>
      </c>
      <c r="Q20" s="15">
        <f>('Финан-е'!P21+'Финан-е'!P33+'Финан-е'!P48+'Финан-е'!P60)</f>
        <v>0</v>
      </c>
      <c r="R20" s="15">
        <f>('Финан-е'!Q21+'Финан-е'!Q33+'Финан-е'!Q48+'Финан-е'!Q60)</f>
        <v>26401.1</v>
      </c>
      <c r="S20" s="15">
        <f>('Финан-е'!R21+'Финан-е'!R33+'Финан-е'!R48+'Финан-е'!R60)</f>
        <v>0</v>
      </c>
      <c r="T20" s="15">
        <f>('Финан-е'!S21+'Финан-е'!S33+'Финан-е'!S48+'Финан-е'!S60)</f>
        <v>0</v>
      </c>
      <c r="U20" s="15">
        <f>('Финан-е'!T21+'Финан-е'!T33+'Финан-е'!T48+'Финан-е'!T60)</f>
        <v>0</v>
      </c>
      <c r="V20" s="15">
        <f>('Финан-е'!U21+'Финан-е'!U33+'Финан-е'!U48+'Финан-е'!U60)</f>
        <v>0</v>
      </c>
      <c r="W20" s="15">
        <f>('Финан-е'!V21+'Финан-е'!V33+'Финан-е'!V48+'Финан-е'!V60)</f>
        <v>0</v>
      </c>
      <c r="X20" s="15">
        <f>('Финан-е'!W21+'Финан-е'!W33+'Финан-е'!W48+'Финан-е'!W60)</f>
        <v>0</v>
      </c>
      <c r="Y20" s="15">
        <f>('Финан-е'!X21+'Финан-е'!X33+'Финан-е'!X48+'Финан-е'!X60)</f>
        <v>0</v>
      </c>
    </row>
    <row r="21" spans="2:25" x14ac:dyDescent="0.2">
      <c r="E21" s="8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">
      <c r="B22" s="51" t="s">
        <v>186</v>
      </c>
      <c r="E22" s="80" t="s">
        <v>117</v>
      </c>
      <c r="F22" s="17">
        <f t="shared" ref="F22:Y22" si="5">F23+F24</f>
        <v>-5726.0324677214321</v>
      </c>
      <c r="G22" s="17">
        <f t="shared" si="5"/>
        <v>-1720.1122205082793</v>
      </c>
      <c r="H22" s="17">
        <f t="shared" si="5"/>
        <v>-2155.6244185587893</v>
      </c>
      <c r="I22" s="17">
        <f t="shared" si="5"/>
        <v>-1371.3654895603158</v>
      </c>
      <c r="J22" s="17">
        <f t="shared" si="5"/>
        <v>-17541.757311384408</v>
      </c>
      <c r="K22" s="17">
        <f t="shared" si="5"/>
        <v>-7772.6536364801359</v>
      </c>
      <c r="L22" s="17">
        <f t="shared" si="5"/>
        <v>-21266.74716232613</v>
      </c>
      <c r="M22" s="17">
        <f t="shared" si="5"/>
        <v>-22319.790366101937</v>
      </c>
      <c r="N22" s="17">
        <f t="shared" si="5"/>
        <v>-39277.161075552765</v>
      </c>
      <c r="O22" s="17">
        <f t="shared" si="5"/>
        <v>-21042.168413888852</v>
      </c>
      <c r="P22" s="17">
        <f t="shared" si="5"/>
        <v>-15935.917675408622</v>
      </c>
      <c r="Q22" s="17">
        <f t="shared" si="5"/>
        <v>-18018.446571302076</v>
      </c>
      <c r="R22" s="17">
        <f t="shared" si="5"/>
        <v>-65920.380043697689</v>
      </c>
      <c r="S22" s="17">
        <f t="shared" si="5"/>
        <v>-21833.138422745222</v>
      </c>
      <c r="T22" s="17">
        <f t="shared" si="5"/>
        <v>-29248.512860121147</v>
      </c>
      <c r="U22" s="17">
        <f t="shared" si="5"/>
        <v>-26025.410654680803</v>
      </c>
      <c r="V22" s="17">
        <f t="shared" si="5"/>
        <v>25609.94287726644</v>
      </c>
      <c r="W22" s="17">
        <f t="shared" si="5"/>
        <v>-27116.190787444939</v>
      </c>
      <c r="X22" s="17">
        <f t="shared" si="5"/>
        <v>-35018.742468787241</v>
      </c>
      <c r="Y22" s="17">
        <f t="shared" si="5"/>
        <v>-26399.230355627602</v>
      </c>
    </row>
    <row r="23" spans="2:25" x14ac:dyDescent="0.2">
      <c r="C23" s="1" t="s">
        <v>187</v>
      </c>
      <c r="E23" s="80" t="s">
        <v>117</v>
      </c>
      <c r="F23" s="15">
        <f>-('НА и ОС'!G38+'НА и ОС'!G112)</f>
        <v>-157.75</v>
      </c>
      <c r="G23" s="15">
        <f>-('НА и ОС'!H38+'НА и ОС'!H112)</f>
        <v>-113.25</v>
      </c>
      <c r="H23" s="15">
        <f>-('НА и ОС'!I38+'НА и ОС'!I112)</f>
        <v>-113.25</v>
      </c>
      <c r="I23" s="15">
        <f>-('НА и ОС'!J38+'НА и ОС'!J112)</f>
        <v>-113.25</v>
      </c>
      <c r="J23" s="15">
        <f>-('НА и ОС'!K38+'НА и ОС'!K112)</f>
        <v>-151.5</v>
      </c>
      <c r="K23" s="15">
        <f>-('НА и ОС'!L38+'НА и ОС'!L112)</f>
        <v>-151.5</v>
      </c>
      <c r="L23" s="15">
        <f>-('НА и ОС'!M38+'НА и ОС'!M112)</f>
        <v>-226.5</v>
      </c>
      <c r="M23" s="15">
        <f>-('НА и ОС'!N38+'НА и ОС'!N112)</f>
        <v>-226.5</v>
      </c>
      <c r="N23" s="15">
        <f>-('НА и ОС'!O38+'НА и ОС'!O112)</f>
        <v>-226.5</v>
      </c>
      <c r="O23" s="15">
        <f>-('НА и ОС'!P38+'НА и ОС'!P112)</f>
        <v>-226.5</v>
      </c>
      <c r="P23" s="15">
        <f>-('НА и ОС'!Q38+'НА и ОС'!Q112)</f>
        <v>-226.5</v>
      </c>
      <c r="Q23" s="15">
        <f>-('НА и ОС'!R38+'НА и ОС'!R112)</f>
        <v>-226.5</v>
      </c>
      <c r="R23" s="15">
        <f>-('НА и ОС'!S38+'НА и ОС'!S112)</f>
        <v>-150</v>
      </c>
      <c r="S23" s="15">
        <f>-('НА и ОС'!T38+'НА и ОС'!T112)</f>
        <v>0</v>
      </c>
      <c r="T23" s="15">
        <f>-('НА и ОС'!U38+'НА и ОС'!U112)</f>
        <v>0</v>
      </c>
      <c r="U23" s="15">
        <f>-('НА и ОС'!V38+'НА и ОС'!V112)</f>
        <v>0</v>
      </c>
      <c r="V23" s="15">
        <f>-('НА и ОС'!W38+'НА и ОС'!W112)</f>
        <v>0</v>
      </c>
      <c r="W23" s="15">
        <f>-('НА и ОС'!X38+'НА и ОС'!X112)</f>
        <v>0</v>
      </c>
      <c r="X23" s="15">
        <f>-('НА и ОС'!Y38+'НА и ОС'!Y112)</f>
        <v>0</v>
      </c>
      <c r="Y23" s="15">
        <f>-('НА и ОС'!Z38+'НА и ОС'!Z112)</f>
        <v>0</v>
      </c>
    </row>
    <row r="24" spans="2:25" x14ac:dyDescent="0.2">
      <c r="C24" s="1" t="s">
        <v>188</v>
      </c>
      <c r="E24" s="80" t="s">
        <v>117</v>
      </c>
      <c r="F24" s="15">
        <f>-'Оборот. К.'!D7</f>
        <v>-5568.2824677214321</v>
      </c>
      <c r="G24" s="15">
        <f>-'Оборот. К.'!E7</f>
        <v>-1606.8622205082793</v>
      </c>
      <c r="H24" s="15">
        <f>-'Оборот. К.'!F7</f>
        <v>-2042.3744185587893</v>
      </c>
      <c r="I24" s="15">
        <f>-'Оборот. К.'!G7</f>
        <v>-1258.1154895603158</v>
      </c>
      <c r="J24" s="15">
        <f>-'Оборот. К.'!H7</f>
        <v>-17390.257311384408</v>
      </c>
      <c r="K24" s="15">
        <f>-'Оборот. К.'!I7</f>
        <v>-7621.1536364801359</v>
      </c>
      <c r="L24" s="15">
        <f>-'Оборот. К.'!J7</f>
        <v>-21040.24716232613</v>
      </c>
      <c r="M24" s="15">
        <f>-'Оборот. К.'!K7</f>
        <v>-22093.290366101937</v>
      </c>
      <c r="N24" s="15">
        <f>-'Оборот. К.'!L7</f>
        <v>-39050.661075552765</v>
      </c>
      <c r="O24" s="15">
        <f>-'Оборот. К.'!M7</f>
        <v>-20815.668413888852</v>
      </c>
      <c r="P24" s="15">
        <f>-'Оборот. К.'!N7</f>
        <v>-15709.417675408622</v>
      </c>
      <c r="Q24" s="15">
        <f>-'Оборот. К.'!O7</f>
        <v>-17791.946571302076</v>
      </c>
      <c r="R24" s="15">
        <f>-'Оборот. К.'!P7</f>
        <v>-65770.380043697689</v>
      </c>
      <c r="S24" s="15">
        <f>-'Оборот. К.'!Q7</f>
        <v>-21833.138422745222</v>
      </c>
      <c r="T24" s="15">
        <f>-'Оборот. К.'!R7</f>
        <v>-29248.512860121147</v>
      </c>
      <c r="U24" s="15">
        <f>-'Оборот. К.'!S7</f>
        <v>-26025.410654680803</v>
      </c>
      <c r="V24" s="15">
        <f>-'Оборот. К.'!T7</f>
        <v>25609.94287726644</v>
      </c>
      <c r="W24" s="15">
        <f>-'Оборот. К.'!U7</f>
        <v>-27116.190787444939</v>
      </c>
      <c r="X24" s="15">
        <f>-'Оборот. К.'!V7</f>
        <v>-35018.742468787241</v>
      </c>
      <c r="Y24" s="15">
        <f>-'Оборот. К.'!W7</f>
        <v>-26399.230355627602</v>
      </c>
    </row>
    <row r="25" spans="2:25" x14ac:dyDescent="0.2">
      <c r="E25" s="8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">
      <c r="B26" s="51" t="s">
        <v>189</v>
      </c>
      <c r="E26" s="80" t="s">
        <v>117</v>
      </c>
      <c r="F26" s="17">
        <f>SUM(F27:F32)</f>
        <v>18670</v>
      </c>
      <c r="G26" s="17">
        <f t="shared" ref="G26:Y26" si="6">SUM(G27:G32)</f>
        <v>0</v>
      </c>
      <c r="H26" s="17">
        <f t="shared" si="6"/>
        <v>0</v>
      </c>
      <c r="I26" s="17">
        <f t="shared" si="6"/>
        <v>0</v>
      </c>
      <c r="J26" s="17">
        <f t="shared" si="6"/>
        <v>0</v>
      </c>
      <c r="K26" s="17">
        <f t="shared" si="6"/>
        <v>1000</v>
      </c>
      <c r="L26" s="17">
        <f t="shared" si="6"/>
        <v>-17500</v>
      </c>
      <c r="M26" s="17">
        <f t="shared" si="6"/>
        <v>0</v>
      </c>
      <c r="N26" s="17">
        <f t="shared" si="6"/>
        <v>50</v>
      </c>
      <c r="O26" s="17">
        <f t="shared" si="6"/>
        <v>0</v>
      </c>
      <c r="P26" s="17">
        <f t="shared" si="6"/>
        <v>0</v>
      </c>
      <c r="Q26" s="17">
        <f t="shared" si="6"/>
        <v>0</v>
      </c>
      <c r="R26" s="17">
        <f t="shared" si="6"/>
        <v>50</v>
      </c>
      <c r="S26" s="17">
        <f t="shared" si="6"/>
        <v>0</v>
      </c>
      <c r="T26" s="17">
        <f t="shared" si="6"/>
        <v>0</v>
      </c>
      <c r="U26" s="17">
        <f t="shared" si="6"/>
        <v>0</v>
      </c>
      <c r="V26" s="17">
        <f t="shared" si="6"/>
        <v>0</v>
      </c>
      <c r="W26" s="17">
        <f t="shared" si="6"/>
        <v>0</v>
      </c>
      <c r="X26" s="17">
        <f t="shared" si="6"/>
        <v>0</v>
      </c>
      <c r="Y26" s="17">
        <f t="shared" si="6"/>
        <v>0</v>
      </c>
    </row>
    <row r="27" spans="2:25" x14ac:dyDescent="0.2">
      <c r="B27" s="51"/>
      <c r="C27" s="1" t="s">
        <v>78</v>
      </c>
      <c r="E27" s="80" t="s">
        <v>117</v>
      </c>
      <c r="F27" s="15">
        <f>'Финан-е'!E6</f>
        <v>120</v>
      </c>
      <c r="G27" s="15">
        <f>'Финан-е'!F6</f>
        <v>0</v>
      </c>
      <c r="H27" s="15">
        <f>'Финан-е'!G6</f>
        <v>0</v>
      </c>
      <c r="I27" s="15">
        <f>'Финан-е'!H6</f>
        <v>0</v>
      </c>
      <c r="J27" s="15">
        <f>'Финан-е'!I6</f>
        <v>0</v>
      </c>
      <c r="K27" s="15">
        <f>'Финан-е'!J6</f>
        <v>0</v>
      </c>
      <c r="L27" s="15">
        <f>'Финан-е'!K6</f>
        <v>0</v>
      </c>
      <c r="M27" s="15">
        <f>'Финан-е'!L6</f>
        <v>0</v>
      </c>
      <c r="N27" s="15">
        <f>'Финан-е'!M6</f>
        <v>0</v>
      </c>
      <c r="O27" s="15">
        <f>'Финан-е'!N6</f>
        <v>0</v>
      </c>
      <c r="P27" s="15">
        <f>'Финан-е'!O6</f>
        <v>0</v>
      </c>
      <c r="Q27" s="15">
        <f>'Финан-е'!P6</f>
        <v>0</v>
      </c>
      <c r="R27" s="15">
        <f>'Финан-е'!Q6</f>
        <v>0</v>
      </c>
      <c r="S27" s="15">
        <f>'Финан-е'!R6</f>
        <v>0</v>
      </c>
      <c r="T27" s="15">
        <f>'Финан-е'!S6</f>
        <v>0</v>
      </c>
      <c r="U27" s="15">
        <f>'Финан-е'!T6</f>
        <v>0</v>
      </c>
      <c r="V27" s="15">
        <f>'Финан-е'!U6</f>
        <v>0</v>
      </c>
      <c r="W27" s="15">
        <f>'Финан-е'!V6</f>
        <v>0</v>
      </c>
      <c r="X27" s="15">
        <f>'Финан-е'!W6</f>
        <v>0</v>
      </c>
      <c r="Y27" s="15">
        <f>'Финан-е'!X6</f>
        <v>0</v>
      </c>
    </row>
    <row r="28" spans="2:25" x14ac:dyDescent="0.2">
      <c r="C28" s="1" t="s">
        <v>190</v>
      </c>
      <c r="E28" s="80" t="s">
        <v>117</v>
      </c>
      <c r="F28" s="15">
        <f>'Финан-е'!E7</f>
        <v>50</v>
      </c>
      <c r="G28" s="15">
        <f>'Финан-е'!F7</f>
        <v>0</v>
      </c>
      <c r="H28" s="15">
        <f>'Финан-е'!G7</f>
        <v>0</v>
      </c>
      <c r="I28" s="15">
        <f>'Финан-е'!H7</f>
        <v>0</v>
      </c>
      <c r="J28" s="15">
        <f>'Финан-е'!I7</f>
        <v>0</v>
      </c>
      <c r="K28" s="15">
        <f>'Финан-е'!J7</f>
        <v>0</v>
      </c>
      <c r="L28" s="15">
        <f>'Финан-е'!K7</f>
        <v>0</v>
      </c>
      <c r="M28" s="15">
        <f>'Финан-е'!L7</f>
        <v>0</v>
      </c>
      <c r="N28" s="15">
        <f>'Финан-е'!M7</f>
        <v>50</v>
      </c>
      <c r="O28" s="15">
        <f>'Финан-е'!N7</f>
        <v>0</v>
      </c>
      <c r="P28" s="15">
        <f>'Финан-е'!O7</f>
        <v>0</v>
      </c>
      <c r="Q28" s="15">
        <f>'Финан-е'!P7</f>
        <v>0</v>
      </c>
      <c r="R28" s="15">
        <f>'Финан-е'!Q7</f>
        <v>50</v>
      </c>
      <c r="S28" s="15">
        <f>'Финан-е'!R7</f>
        <v>0</v>
      </c>
      <c r="T28" s="15">
        <f>'Финан-е'!S7</f>
        <v>0</v>
      </c>
      <c r="U28" s="15">
        <f>'Финан-е'!T7</f>
        <v>0</v>
      </c>
      <c r="V28" s="15">
        <f>'Финан-е'!U7</f>
        <v>0</v>
      </c>
      <c r="W28" s="15">
        <f>'Финан-е'!V7</f>
        <v>0</v>
      </c>
      <c r="X28" s="15">
        <f>'Финан-е'!W7</f>
        <v>0</v>
      </c>
      <c r="Y28" s="15">
        <f>'Финан-е'!X7</f>
        <v>0</v>
      </c>
    </row>
    <row r="29" spans="2:25" x14ac:dyDescent="0.2">
      <c r="C29" s="1" t="s">
        <v>191</v>
      </c>
      <c r="E29" s="80" t="s">
        <v>117</v>
      </c>
      <c r="F29" s="15">
        <f>'Финан-е'!E8</f>
        <v>1000</v>
      </c>
      <c r="G29" s="15">
        <f>'Финан-е'!F8</f>
        <v>0</v>
      </c>
      <c r="H29" s="15">
        <f>'Финан-е'!G8</f>
        <v>0</v>
      </c>
      <c r="I29" s="15">
        <f>'Финан-е'!H8</f>
        <v>0</v>
      </c>
      <c r="J29" s="15">
        <f>'Финан-е'!I8</f>
        <v>0</v>
      </c>
      <c r="K29" s="15">
        <f>'Финан-е'!J8</f>
        <v>1000</v>
      </c>
      <c r="L29" s="15">
        <f>'Финан-е'!K8</f>
        <v>0</v>
      </c>
      <c r="M29" s="15">
        <f>'Финан-е'!L8</f>
        <v>0</v>
      </c>
      <c r="N29" s="15">
        <f>'Финан-е'!M8</f>
        <v>0</v>
      </c>
      <c r="O29" s="15">
        <f>'Финан-е'!N8</f>
        <v>0</v>
      </c>
      <c r="P29" s="15">
        <f>'Финан-е'!O8</f>
        <v>0</v>
      </c>
      <c r="Q29" s="15">
        <f>'Финан-е'!P8</f>
        <v>0</v>
      </c>
      <c r="R29" s="15">
        <f>'Финан-е'!Q8</f>
        <v>0</v>
      </c>
      <c r="S29" s="15">
        <f>'Финан-е'!R8</f>
        <v>0</v>
      </c>
      <c r="T29" s="15">
        <f>'Финан-е'!S8</f>
        <v>0</v>
      </c>
      <c r="U29" s="15">
        <f>'Финан-е'!T8</f>
        <v>0</v>
      </c>
      <c r="V29" s="15">
        <f>'Финан-е'!U8</f>
        <v>0</v>
      </c>
      <c r="W29" s="15">
        <f>'Финан-е'!V8</f>
        <v>0</v>
      </c>
      <c r="X29" s="15">
        <f>'Финан-е'!W8</f>
        <v>0</v>
      </c>
      <c r="Y29" s="15">
        <f>'Финан-е'!X8</f>
        <v>0</v>
      </c>
    </row>
    <row r="30" spans="2:25" x14ac:dyDescent="0.2">
      <c r="C30" s="1" t="s">
        <v>192</v>
      </c>
      <c r="E30" s="80" t="s">
        <v>117</v>
      </c>
      <c r="F30" s="15">
        <f>'Финан-е'!E16+'Финан-е'!E28+'Финан-е'!E43+'Финан-е'!E55</f>
        <v>17500</v>
      </c>
      <c r="G30" s="15">
        <f>'Финан-е'!F16+'Финан-е'!F28+'Финан-е'!F43+'Финан-е'!F55</f>
        <v>0</v>
      </c>
      <c r="H30" s="15">
        <f>'Финан-е'!G16+'Финан-е'!G28+'Финан-е'!G43+'Финан-е'!G55</f>
        <v>0</v>
      </c>
      <c r="I30" s="15">
        <f>'Финан-е'!H16+'Финан-е'!H28+'Финан-е'!H43+'Финан-е'!H55</f>
        <v>0</v>
      </c>
      <c r="J30" s="15">
        <f>'Финан-е'!I16+'Финан-е'!I28+'Финан-е'!I43+'Финан-е'!I55</f>
        <v>0</v>
      </c>
      <c r="K30" s="15">
        <f>'Финан-е'!J16+'Финан-е'!J28+'Финан-е'!J43+'Финан-е'!J55</f>
        <v>0</v>
      </c>
      <c r="L30" s="15">
        <f>'Финан-е'!K16+'Финан-е'!K28+'Финан-е'!K43+'Финан-е'!K55</f>
        <v>0</v>
      </c>
      <c r="M30" s="15">
        <f>'Финан-е'!L16+'Финан-е'!L28+'Финан-е'!L43+'Финан-е'!L55</f>
        <v>0</v>
      </c>
      <c r="N30" s="15">
        <f>'Финан-е'!M16+'Финан-е'!M28+'Финан-е'!M43+'Финан-е'!M55</f>
        <v>0</v>
      </c>
      <c r="O30" s="15">
        <f>'Финан-е'!N16+'Финан-е'!N28+'Финан-е'!N43+'Финан-е'!N55</f>
        <v>0</v>
      </c>
      <c r="P30" s="15">
        <f>'Финан-е'!O16+'Финан-е'!O28+'Финан-е'!O43+'Финан-е'!O55</f>
        <v>0</v>
      </c>
      <c r="Q30" s="15">
        <f>'Финан-е'!P16+'Финан-е'!P28+'Финан-е'!P43+'Финан-е'!P55</f>
        <v>0</v>
      </c>
      <c r="R30" s="15">
        <f>'Финан-е'!Q16+'Финан-е'!Q28+'Финан-е'!Q43+'Финан-е'!Q55</f>
        <v>0</v>
      </c>
      <c r="S30" s="15">
        <f>'Финан-е'!R16+'Финан-е'!R28+'Финан-е'!R43+'Финан-е'!R55</f>
        <v>0</v>
      </c>
      <c r="T30" s="15">
        <f>'Финан-е'!S16+'Финан-е'!S28+'Финан-е'!S43+'Финан-е'!S55</f>
        <v>0</v>
      </c>
      <c r="U30" s="15">
        <f>'Финан-е'!T16+'Финан-е'!T28+'Финан-е'!T43+'Финан-е'!T55</f>
        <v>0</v>
      </c>
      <c r="V30" s="15">
        <f>'Финан-е'!U16+'Финан-е'!U28+'Финан-е'!U43+'Финан-е'!U55</f>
        <v>0</v>
      </c>
      <c r="W30" s="15">
        <f>'Финан-е'!V16+'Финан-е'!V28+'Финан-е'!V43+'Финан-е'!V55</f>
        <v>0</v>
      </c>
      <c r="X30" s="15">
        <f>'Финан-е'!W16+'Финан-е'!W28+'Финан-е'!W43+'Финан-е'!W55</f>
        <v>0</v>
      </c>
      <c r="Y30" s="15">
        <f>'Финан-е'!X16+'Финан-е'!X28+'Финан-е'!X43+'Финан-е'!X55</f>
        <v>0</v>
      </c>
    </row>
    <row r="31" spans="2:25" x14ac:dyDescent="0.2">
      <c r="C31" s="1" t="s">
        <v>193</v>
      </c>
      <c r="E31" s="80" t="s">
        <v>117</v>
      </c>
      <c r="F31" s="15">
        <f>'Финан-е'!E17+'Финан-е'!E29+'Финан-е'!E44+'Финан-е'!E56</f>
        <v>0</v>
      </c>
      <c r="G31" s="15">
        <f>'Финан-е'!F17+'Финан-е'!F29+'Финан-е'!F44+'Финан-е'!F56</f>
        <v>0</v>
      </c>
      <c r="H31" s="15">
        <f>'Финан-е'!G17+'Финан-е'!G29+'Финан-е'!G44+'Финан-е'!G56</f>
        <v>0</v>
      </c>
      <c r="I31" s="15">
        <f>'Финан-е'!H17+'Финан-е'!H29+'Финан-е'!H44+'Финан-е'!H56</f>
        <v>0</v>
      </c>
      <c r="J31" s="15">
        <f>'Финан-е'!I17+'Финан-е'!I29+'Финан-е'!I44+'Финан-е'!I56</f>
        <v>0</v>
      </c>
      <c r="K31" s="15">
        <f>'Финан-е'!J17+'Финан-е'!J29+'Финан-е'!J44+'Финан-е'!J56</f>
        <v>0</v>
      </c>
      <c r="L31" s="15">
        <f>'Финан-е'!K17+'Финан-е'!K29+'Финан-е'!K44+'Финан-е'!K56</f>
        <v>-17500</v>
      </c>
      <c r="M31" s="15">
        <f>'Финан-е'!L17+'Финан-е'!L29+'Финан-е'!L44+'Финан-е'!L56</f>
        <v>0</v>
      </c>
      <c r="N31" s="15">
        <f>'Финан-е'!M17+'Финан-е'!M29+'Финан-е'!M44+'Финан-е'!M56</f>
        <v>0</v>
      </c>
      <c r="O31" s="15">
        <f>'Финан-е'!N17+'Финан-е'!N29+'Финан-е'!N44+'Финан-е'!N56</f>
        <v>0</v>
      </c>
      <c r="P31" s="15">
        <f>'Финан-е'!O17+'Финан-е'!O29+'Финан-е'!O44+'Финан-е'!O56</f>
        <v>0</v>
      </c>
      <c r="Q31" s="15">
        <f>'Финан-е'!P17+'Финан-е'!P29+'Финан-е'!P44+'Финан-е'!P56</f>
        <v>0</v>
      </c>
      <c r="R31" s="15">
        <f>'Финан-е'!Q17+'Финан-е'!Q29+'Финан-е'!Q44+'Финан-е'!Q56</f>
        <v>0</v>
      </c>
      <c r="S31" s="15">
        <f>'Финан-е'!R17+'Финан-е'!R29+'Финан-е'!R44+'Финан-е'!R56</f>
        <v>0</v>
      </c>
      <c r="T31" s="15">
        <f>'Финан-е'!S17+'Финан-е'!S29+'Финан-е'!S44+'Финан-е'!S56</f>
        <v>0</v>
      </c>
      <c r="U31" s="15">
        <f>'Финан-е'!T17+'Финан-е'!T29+'Финан-е'!T44+'Финан-е'!T56</f>
        <v>0</v>
      </c>
      <c r="V31" s="15">
        <f>'Финан-е'!U17+'Финан-е'!U29+'Финан-е'!U44+'Финан-е'!U56</f>
        <v>0</v>
      </c>
      <c r="W31" s="15">
        <f>'Финан-е'!V17+'Финан-е'!V29+'Финан-е'!V44+'Финан-е'!V56</f>
        <v>0</v>
      </c>
      <c r="X31" s="15">
        <f>'Финан-е'!W17+'Финан-е'!W29+'Финан-е'!W44+'Финан-е'!W56</f>
        <v>0</v>
      </c>
      <c r="Y31" s="15">
        <f>'Финан-е'!X17+'Финан-е'!X29+'Финан-е'!X44+'Финан-е'!X56</f>
        <v>0</v>
      </c>
    </row>
    <row r="32" spans="2:25" x14ac:dyDescent="0.2">
      <c r="C32" s="1" t="s">
        <v>311</v>
      </c>
      <c r="E32" s="80" t="s">
        <v>117</v>
      </c>
      <c r="F32" s="15">
        <f>'Форма 2'!F26</f>
        <v>0</v>
      </c>
      <c r="G32" s="15">
        <f>'Форма 2'!G26</f>
        <v>0</v>
      </c>
      <c r="H32" s="15">
        <f>'Форма 2'!H26</f>
        <v>0</v>
      </c>
      <c r="I32" s="15">
        <f>'Форма 2'!I26</f>
        <v>0</v>
      </c>
      <c r="J32" s="15">
        <f>'Форма 2'!J26</f>
        <v>0</v>
      </c>
      <c r="K32" s="15">
        <f>'Форма 2'!K26</f>
        <v>0</v>
      </c>
      <c r="L32" s="15">
        <f>'Форма 2'!L26</f>
        <v>0</v>
      </c>
      <c r="M32" s="15">
        <f>'Форма 2'!M26</f>
        <v>0</v>
      </c>
      <c r="N32" s="15">
        <f>'Форма 2'!N26</f>
        <v>0</v>
      </c>
      <c r="O32" s="15">
        <f>'Форма 2'!O26</f>
        <v>0</v>
      </c>
      <c r="P32" s="15">
        <f>'Форма 2'!P26</f>
        <v>0</v>
      </c>
      <c r="Q32" s="15">
        <f>'Форма 2'!Q26</f>
        <v>0</v>
      </c>
      <c r="R32" s="15">
        <f>'Форма 2'!R26</f>
        <v>0</v>
      </c>
      <c r="S32" s="15">
        <f>'Форма 2'!S26</f>
        <v>0</v>
      </c>
      <c r="T32" s="15">
        <f>'Форма 2'!T26</f>
        <v>0</v>
      </c>
      <c r="U32" s="15">
        <f>'Форма 2'!U26</f>
        <v>0</v>
      </c>
      <c r="V32" s="15">
        <f>'Форма 2'!V26</f>
        <v>0</v>
      </c>
      <c r="W32" s="15">
        <f>'Форма 2'!W26</f>
        <v>0</v>
      </c>
      <c r="X32" s="15">
        <f>'Форма 2'!X26</f>
        <v>0</v>
      </c>
      <c r="Y32" s="15">
        <f>'Форма 2'!Y26</f>
        <v>0</v>
      </c>
    </row>
    <row r="33" spans="2:25" x14ac:dyDescent="0.2">
      <c r="E33" s="8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2:25" x14ac:dyDescent="0.2">
      <c r="B34" s="58" t="s">
        <v>194</v>
      </c>
      <c r="E34" s="80" t="s">
        <v>117</v>
      </c>
      <c r="F34" s="155">
        <f>F4+F22+F26</f>
        <v>13756.775514296553</v>
      </c>
      <c r="G34" s="155">
        <f t="shared" ref="G34:Y34" si="7">G4+G22+G26</f>
        <v>3611.5025065258205</v>
      </c>
      <c r="H34" s="155">
        <f t="shared" si="7"/>
        <v>9799.3145720025459</v>
      </c>
      <c r="I34" s="155">
        <f t="shared" si="7"/>
        <v>18111.770088163736</v>
      </c>
      <c r="J34" s="155">
        <f t="shared" si="7"/>
        <v>62.648699733977992</v>
      </c>
      <c r="K34" s="155">
        <f t="shared" si="7"/>
        <v>14419.858218863686</v>
      </c>
      <c r="L34" s="155">
        <f t="shared" si="7"/>
        <v>-11603.777027891163</v>
      </c>
      <c r="M34" s="155">
        <f t="shared" si="7"/>
        <v>16363.306164841553</v>
      </c>
      <c r="N34" s="155">
        <f t="shared" si="7"/>
        <v>2682.0826671414543</v>
      </c>
      <c r="O34" s="155">
        <f t="shared" si="7"/>
        <v>30137.06675990286</v>
      </c>
      <c r="P34" s="155">
        <f t="shared" si="7"/>
        <v>42589.50340872338</v>
      </c>
      <c r="Q34" s="155">
        <f t="shared" si="7"/>
        <v>49006.748031200434</v>
      </c>
      <c r="R34" s="155">
        <f t="shared" si="7"/>
        <v>32396.003820978367</v>
      </c>
      <c r="S34" s="155">
        <f t="shared" si="7"/>
        <v>66699.226629024124</v>
      </c>
      <c r="T34" s="155">
        <f t="shared" si="7"/>
        <v>77219.176394875569</v>
      </c>
      <c r="U34" s="155">
        <f t="shared" si="7"/>
        <v>89379.25832669418</v>
      </c>
      <c r="V34" s="155">
        <f t="shared" si="7"/>
        <v>108416.29113245889</v>
      </c>
      <c r="W34" s="155">
        <f t="shared" si="7"/>
        <v>67879.472351517645</v>
      </c>
      <c r="X34" s="155">
        <f t="shared" si="7"/>
        <v>79021.163249211051</v>
      </c>
      <c r="Y34" s="155">
        <f t="shared" si="7"/>
        <v>96957.305958279496</v>
      </c>
    </row>
    <row r="35" spans="2:25" x14ac:dyDescent="0.2">
      <c r="B35" s="58" t="s">
        <v>195</v>
      </c>
      <c r="E35" s="80" t="s">
        <v>117</v>
      </c>
      <c r="F35" s="155">
        <f>SUM($F34:F34)</f>
        <v>13756.775514296553</v>
      </c>
      <c r="G35" s="155">
        <f>SUM($F34:G34)</f>
        <v>17368.278020822374</v>
      </c>
      <c r="H35" s="155">
        <f>SUM($F34:H34)</f>
        <v>27167.59259282492</v>
      </c>
      <c r="I35" s="155">
        <f>SUM($F34:I34)</f>
        <v>45279.362680988655</v>
      </c>
      <c r="J35" s="155">
        <f>SUM($F34:J34)</f>
        <v>45342.01138072263</v>
      </c>
      <c r="K35" s="155">
        <f>SUM($F34:K34)</f>
        <v>59761.869599586316</v>
      </c>
      <c r="L35" s="155">
        <f>SUM($F34:L34)</f>
        <v>48158.092571695153</v>
      </c>
      <c r="M35" s="155">
        <f>SUM($F34:M34)</f>
        <v>64521.398736536707</v>
      </c>
      <c r="N35" s="155">
        <f>SUM($F34:N34)</f>
        <v>67203.481403678161</v>
      </c>
      <c r="O35" s="155">
        <f>SUM($F34:O34)</f>
        <v>97340.548163581028</v>
      </c>
      <c r="P35" s="155">
        <f>SUM($F34:P34)</f>
        <v>139930.05157230439</v>
      </c>
      <c r="Q35" s="155">
        <f>SUM($F34:Q34)</f>
        <v>188936.79960350483</v>
      </c>
      <c r="R35" s="155">
        <f>SUM($F34:R34)</f>
        <v>221332.80342448319</v>
      </c>
      <c r="S35" s="155">
        <f>SUM($F34:S34)</f>
        <v>288032.0300535073</v>
      </c>
      <c r="T35" s="155">
        <f>SUM($F34:T34)</f>
        <v>365251.20644838287</v>
      </c>
      <c r="U35" s="155">
        <f>SUM($F34:U34)</f>
        <v>454630.46477507707</v>
      </c>
      <c r="V35" s="155">
        <f>SUM($F34:V34)</f>
        <v>563046.75590753602</v>
      </c>
      <c r="W35" s="155">
        <f>SUM($F34:W34)</f>
        <v>630926.22825905366</v>
      </c>
      <c r="X35" s="155">
        <f>SUM($F34:X34)</f>
        <v>709947.3915082647</v>
      </c>
      <c r="Y35" s="155">
        <f>SUM($F34:Y34)</f>
        <v>806904.69746654422</v>
      </c>
    </row>
  </sheetData>
  <hyperlinks>
    <hyperlink ref="D1" r:id="rId1"/>
  </hyperlinks>
  <pageMargins left="0.75" right="0.75" top="1" bottom="1" header="0.5" footer="0.5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8"/>
  <sheetViews>
    <sheetView zoomScale="85" zoomScaleNormal="85" workbookViewId="0">
      <selection activeCell="E1" sqref="E1"/>
    </sheetView>
  </sheetViews>
  <sheetFormatPr defaultRowHeight="12.75" x14ac:dyDescent="0.2"/>
  <cols>
    <col min="1" max="1" width="3.7109375" style="1" customWidth="1"/>
    <col min="2" max="2" width="3.42578125" style="1" customWidth="1"/>
    <col min="3" max="3" width="3.28515625" style="1" customWidth="1"/>
    <col min="4" max="4" width="10.28515625" style="1" customWidth="1"/>
    <col min="5" max="5" width="35.28515625" style="1" customWidth="1"/>
    <col min="6" max="6" width="10" style="1" bestFit="1" customWidth="1"/>
    <col min="7" max="7" width="9.140625" style="1" customWidth="1"/>
    <col min="8" max="8" width="10" style="1" bestFit="1" customWidth="1"/>
    <col min="9" max="9" width="9.140625" style="1" customWidth="1"/>
    <col min="10" max="10" width="10" style="1" bestFit="1" customWidth="1"/>
    <col min="11" max="11" width="9.140625" style="1" customWidth="1"/>
    <col min="12" max="12" width="10" style="1" bestFit="1" customWidth="1"/>
    <col min="13" max="13" width="9.140625" style="1" customWidth="1"/>
    <col min="14" max="14" width="10" style="1" bestFit="1" customWidth="1"/>
    <col min="15" max="16384" width="9.140625" style="1"/>
  </cols>
  <sheetData>
    <row r="1" spans="1:28" ht="18" x14ac:dyDescent="0.25">
      <c r="E1" s="319" t="s">
        <v>573</v>
      </c>
    </row>
    <row r="2" spans="1:28" s="2" customFormat="1" x14ac:dyDescent="0.2">
      <c r="A2" s="11" t="s">
        <v>204</v>
      </c>
      <c r="B2" s="11"/>
      <c r="C2" s="11"/>
      <c r="D2" s="12"/>
      <c r="E2" s="12"/>
      <c r="F2" s="2" t="s">
        <v>108</v>
      </c>
      <c r="G2" s="3" t="s">
        <v>87</v>
      </c>
      <c r="H2" s="3" t="s">
        <v>88</v>
      </c>
      <c r="I2" s="3" t="s">
        <v>89</v>
      </c>
      <c r="J2" s="3" t="s">
        <v>90</v>
      </c>
      <c r="K2" s="4" t="s">
        <v>91</v>
      </c>
      <c r="L2" s="4" t="s">
        <v>92</v>
      </c>
      <c r="M2" s="4" t="s">
        <v>93</v>
      </c>
      <c r="N2" s="4" t="s">
        <v>94</v>
      </c>
      <c r="O2" s="5" t="s">
        <v>95</v>
      </c>
      <c r="P2" s="5" t="s">
        <v>96</v>
      </c>
      <c r="Q2" s="5" t="s">
        <v>97</v>
      </c>
      <c r="R2" s="5" t="s">
        <v>98</v>
      </c>
      <c r="S2" s="6" t="s">
        <v>99</v>
      </c>
      <c r="T2" s="6" t="s">
        <v>100</v>
      </c>
      <c r="U2" s="6" t="s">
        <v>101</v>
      </c>
      <c r="V2" s="6" t="s">
        <v>102</v>
      </c>
      <c r="W2" s="7" t="s">
        <v>103</v>
      </c>
      <c r="X2" s="7" t="s">
        <v>104</v>
      </c>
      <c r="Y2" s="7" t="s">
        <v>105</v>
      </c>
      <c r="Z2" s="7" t="s">
        <v>106</v>
      </c>
      <c r="AA2" s="129" t="s">
        <v>107</v>
      </c>
      <c r="AB2" s="129" t="s">
        <v>379</v>
      </c>
    </row>
    <row r="3" spans="1:28" s="22" customFormat="1" x14ac:dyDescent="0.2">
      <c r="A3" s="20"/>
      <c r="B3" s="20"/>
      <c r="C3" s="20"/>
      <c r="D3" s="21"/>
      <c r="E3" s="21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102"/>
      <c r="AB3" s="102"/>
    </row>
    <row r="4" spans="1:28" x14ac:dyDescent="0.2">
      <c r="A4" s="25" t="s">
        <v>81</v>
      </c>
      <c r="AA4" s="96"/>
      <c r="AB4" s="96"/>
    </row>
    <row r="5" spans="1:28" x14ac:dyDescent="0.2">
      <c r="B5" s="1" t="s">
        <v>205</v>
      </c>
      <c r="F5" s="14" t="s">
        <v>117</v>
      </c>
      <c r="G5" s="15">
        <f>CF!F4-CF!F20+CF!F22</f>
        <v>-4913.2244857034475</v>
      </c>
      <c r="H5" s="15">
        <f>CF!G4-CF!G20+CF!G22</f>
        <v>3611.5025065258205</v>
      </c>
      <c r="I5" s="15">
        <f>CF!H4-CF!H20+CF!H22</f>
        <v>9799.3145720025459</v>
      </c>
      <c r="J5" s="15">
        <f>CF!I4-CF!I20+CF!I22</f>
        <v>18111.770088163736</v>
      </c>
      <c r="K5" s="15">
        <f>CF!J4-CF!J20+CF!J22</f>
        <v>62.648699733977992</v>
      </c>
      <c r="L5" s="15">
        <f>CF!K4-CF!K20+CF!K22</f>
        <v>13419.858218863686</v>
      </c>
      <c r="M5" s="15">
        <f>CF!L4-CF!L20+CF!L22</f>
        <v>5896.222972108837</v>
      </c>
      <c r="N5" s="15">
        <f>CF!M4-CF!M20+CF!M22</f>
        <v>8585.1061648415525</v>
      </c>
      <c r="O5" s="15">
        <f>CF!N4-CF!N20+CF!N22</f>
        <v>2632.0826671414543</v>
      </c>
      <c r="P5" s="15">
        <f>CF!O4-CF!O20+CF!O22</f>
        <v>30137.06675990286</v>
      </c>
      <c r="Q5" s="15">
        <f>CF!P4-CF!P20+CF!P22</f>
        <v>42589.50340872338</v>
      </c>
      <c r="R5" s="15">
        <f>CF!Q4-CF!Q20+CF!Q22</f>
        <v>49006.748031200434</v>
      </c>
      <c r="S5" s="15">
        <f>CF!R4-CF!R20+CF!R22</f>
        <v>5944.9038209783612</v>
      </c>
      <c r="T5" s="15">
        <f>CF!S4-CF!S20+CF!S22</f>
        <v>66699.226629024124</v>
      </c>
      <c r="U5" s="15">
        <f>CF!T4-CF!T20+CF!T22</f>
        <v>77219.176394875569</v>
      </c>
      <c r="V5" s="15">
        <f>CF!U4-CF!U20+CF!U22</f>
        <v>89379.25832669418</v>
      </c>
      <c r="W5" s="15">
        <f>CF!V4-CF!V20+CF!V22</f>
        <v>108416.29113245889</v>
      </c>
      <c r="X5" s="15">
        <f>CF!W4-CF!W20+CF!W22</f>
        <v>67879.472351517645</v>
      </c>
      <c r="Y5" s="15">
        <f>CF!X4-CF!X20+CF!X22</f>
        <v>79021.163249211051</v>
      </c>
      <c r="Z5" s="15">
        <f>CF!Y4-CF!Y20+CF!Y22</f>
        <v>96957.305958279496</v>
      </c>
      <c r="AA5" s="130">
        <f>SUM(G5:Z5)</f>
        <v>770455.39746654418</v>
      </c>
      <c r="AB5" s="130" t="b">
        <f>AA5=Z6</f>
        <v>1</v>
      </c>
    </row>
    <row r="6" spans="1:28" x14ac:dyDescent="0.2">
      <c r="B6" s="1" t="s">
        <v>213</v>
      </c>
      <c r="F6" s="14" t="s">
        <v>117</v>
      </c>
      <c r="G6" s="15">
        <f>SUM($G5:G5)</f>
        <v>-4913.2244857034475</v>
      </c>
      <c r="H6" s="15">
        <f>SUM($G5:H5)</f>
        <v>-1301.721979177627</v>
      </c>
      <c r="I6" s="15">
        <f>SUM($G5:I5)</f>
        <v>8497.5925928249198</v>
      </c>
      <c r="J6" s="15">
        <f>SUM($G5:J5)</f>
        <v>26609.362680988655</v>
      </c>
      <c r="K6" s="15">
        <f>SUM($G5:K5)</f>
        <v>26672.011380722633</v>
      </c>
      <c r="L6" s="15">
        <f>SUM($G5:L5)</f>
        <v>40091.869599586324</v>
      </c>
      <c r="M6" s="15">
        <f>SUM($G5:M5)</f>
        <v>45988.092571695161</v>
      </c>
      <c r="N6" s="15">
        <f>SUM($G5:N5)</f>
        <v>54573.198736536709</v>
      </c>
      <c r="O6" s="15">
        <f>SUM($G5:O5)</f>
        <v>57205.281403678164</v>
      </c>
      <c r="P6" s="15">
        <f>SUM($G5:P5)</f>
        <v>87342.348163581017</v>
      </c>
      <c r="Q6" s="15">
        <f>SUM($G5:Q5)</f>
        <v>129931.8515723044</v>
      </c>
      <c r="R6" s="15">
        <f>SUM($G5:R5)</f>
        <v>178938.59960350482</v>
      </c>
      <c r="S6" s="15">
        <f>SUM($G5:S5)</f>
        <v>184883.50342448318</v>
      </c>
      <c r="T6" s="15">
        <f>SUM($G5:T5)</f>
        <v>251582.73005350732</v>
      </c>
      <c r="U6" s="15">
        <f>SUM($G5:U5)</f>
        <v>328801.90644838288</v>
      </c>
      <c r="V6" s="15">
        <f>SUM($G5:V5)</f>
        <v>418181.16477507708</v>
      </c>
      <c r="W6" s="15">
        <f>SUM($G5:W5)</f>
        <v>526597.45590753597</v>
      </c>
      <c r="X6" s="15">
        <f>SUM($G5:X5)</f>
        <v>594476.92825905362</v>
      </c>
      <c r="Y6" s="15">
        <f>SUM($G5:Y5)</f>
        <v>673498.09150826465</v>
      </c>
      <c r="Z6" s="15">
        <f>SUM($G5:Z5)</f>
        <v>770455.39746654418</v>
      </c>
      <c r="AA6" s="130"/>
      <c r="AB6" s="130"/>
    </row>
    <row r="7" spans="1:28" x14ac:dyDescent="0.2">
      <c r="B7" s="1" t="s">
        <v>269</v>
      </c>
      <c r="F7" s="14"/>
      <c r="G7" s="132">
        <f>1/(1+'Финан-е'!E76)</f>
        <v>0.95384677352065106</v>
      </c>
      <c r="H7" s="132">
        <f>1/(1+'Финан-е'!F76)</f>
        <v>0.95396274442469331</v>
      </c>
      <c r="I7" s="132">
        <f>1/(1+'Финан-е'!G76)</f>
        <v>0.95407314207798011</v>
      </c>
      <c r="J7" s="132">
        <f>1/(1+'Финан-е'!H76)</f>
        <v>0.95417819912891877</v>
      </c>
      <c r="K7" s="132">
        <f>1/(1+'Финан-е'!I76)</f>
        <v>0.95427814207990036</v>
      </c>
      <c r="L7" s="132">
        <f>1/(1+'Финан-е'!J76)</f>
        <v>0.95300860598514625</v>
      </c>
      <c r="M7" s="132">
        <f>1/(1+'Финан-е'!K76)</f>
        <v>0.9473273323576703</v>
      </c>
      <c r="N7" s="132">
        <f>1/(1+'Финан-е'!L76)</f>
        <v>0.91932121835990765</v>
      </c>
      <c r="O7" s="132">
        <f>1/(1+'Финан-е'!M76)</f>
        <v>0.91932116734405156</v>
      </c>
      <c r="P7" s="132">
        <f>1/(1+'Финан-е'!N76)</f>
        <v>0.91932107853836909</v>
      </c>
      <c r="Q7" s="132">
        <f>1/(1+'Финан-е'!O76)</f>
        <v>0.91932102193550325</v>
      </c>
      <c r="R7" s="132">
        <f>1/(1+'Финан-е'!P76)</f>
        <v>0.91932092478719429</v>
      </c>
      <c r="S7" s="132">
        <f>1/(1+'Финан-е'!Q76)</f>
        <v>1</v>
      </c>
      <c r="T7" s="132">
        <f>1/(1+'Финан-е'!R76)</f>
        <v>1</v>
      </c>
      <c r="U7" s="132">
        <f>1/(1+'Финан-е'!S76)</f>
        <v>1</v>
      </c>
      <c r="V7" s="132">
        <f>1/(1+'Финан-е'!T76)</f>
        <v>1</v>
      </c>
      <c r="W7" s="132">
        <f>1/(1+'Финан-е'!U76)</f>
        <v>1</v>
      </c>
      <c r="X7" s="132">
        <f>1/(1+'Финан-е'!V76)</f>
        <v>1</v>
      </c>
      <c r="Y7" s="132">
        <f>1/(1+'Финан-е'!W76)</f>
        <v>1</v>
      </c>
      <c r="Z7" s="132">
        <f>1/(1+'Финан-е'!X76)</f>
        <v>1</v>
      </c>
      <c r="AA7" s="130"/>
      <c r="AB7" s="130"/>
    </row>
    <row r="8" spans="1:28" x14ac:dyDescent="0.2">
      <c r="B8" s="1" t="s">
        <v>270</v>
      </c>
      <c r="F8" s="14"/>
      <c r="G8" s="132">
        <f>G7</f>
        <v>0.95384677352065106</v>
      </c>
      <c r="H8" s="132">
        <f>G8*H7</f>
        <v>0.90993428582839919</v>
      </c>
      <c r="I8" s="132">
        <f>H8*I7</f>
        <v>0.86814386316478365</v>
      </c>
      <c r="J8" s="132">
        <f>I8*J7</f>
        <v>0.82836394793939572</v>
      </c>
      <c r="K8" s="132">
        <f>J8*K7</f>
        <v>0.79048960920557787</v>
      </c>
      <c r="L8" s="132">
        <f t="shared" ref="L8:Z8" si="0">K8*L7</f>
        <v>0.75334340051475079</v>
      </c>
      <c r="M8" s="132">
        <f t="shared" si="0"/>
        <v>0.71366279395889487</v>
      </c>
      <c r="N8" s="132">
        <f t="shared" si="0"/>
        <v>0.65608534924042694</v>
      </c>
      <c r="O8" s="132">
        <f t="shared" si="0"/>
        <v>0.60315314914103901</v>
      </c>
      <c r="P8" s="132">
        <f t="shared" si="0"/>
        <v>0.55449140359215376</v>
      </c>
      <c r="Q8" s="132">
        <f t="shared" si="0"/>
        <v>0.50975560380479035</v>
      </c>
      <c r="R8" s="132">
        <f t="shared" si="0"/>
        <v>0.46862899310527451</v>
      </c>
      <c r="S8" s="132">
        <f t="shared" si="0"/>
        <v>0.46862899310527451</v>
      </c>
      <c r="T8" s="132">
        <f t="shared" si="0"/>
        <v>0.46862899310527451</v>
      </c>
      <c r="U8" s="132">
        <f t="shared" si="0"/>
        <v>0.46862899310527451</v>
      </c>
      <c r="V8" s="132">
        <f t="shared" si="0"/>
        <v>0.46862899310527451</v>
      </c>
      <c r="W8" s="132">
        <f t="shared" si="0"/>
        <v>0.46862899310527451</v>
      </c>
      <c r="X8" s="132">
        <f t="shared" si="0"/>
        <v>0.46862899310527451</v>
      </c>
      <c r="Y8" s="132">
        <f t="shared" si="0"/>
        <v>0.46862899310527451</v>
      </c>
      <c r="Z8" s="132">
        <f t="shared" si="0"/>
        <v>0.46862899310527451</v>
      </c>
      <c r="AA8" s="130"/>
      <c r="AB8" s="130"/>
    </row>
    <row r="9" spans="1:28" x14ac:dyDescent="0.2">
      <c r="B9" s="1" t="s">
        <v>206</v>
      </c>
      <c r="F9" s="14" t="s">
        <v>117</v>
      </c>
      <c r="G9" s="15">
        <f>G5*G8</f>
        <v>-4686.4633232708939</v>
      </c>
      <c r="H9" s="15">
        <f>H5*H8</f>
        <v>3286.2299540430463</v>
      </c>
      <c r="I9" s="15">
        <f t="shared" ref="I9:Y9" si="1">I5*I8</f>
        <v>8507.214808905248</v>
      </c>
      <c r="J9" s="15">
        <f t="shared" si="1"/>
        <v>15003.137374401969</v>
      </c>
      <c r="K9" s="15">
        <f t="shared" si="1"/>
        <v>49.523146169949854</v>
      </c>
      <c r="L9" s="15">
        <f t="shared" si="1"/>
        <v>10109.761625024596</v>
      </c>
      <c r="M9" s="15">
        <f t="shared" si="1"/>
        <v>4207.9149600798119</v>
      </c>
      <c r="N9" s="15">
        <f t="shared" si="1"/>
        <v>5632.5623764262127</v>
      </c>
      <c r="O9" s="15">
        <f t="shared" si="1"/>
        <v>1587.5489494859132</v>
      </c>
      <c r="P9" s="15">
        <f t="shared" si="1"/>
        <v>16710.744447848978</v>
      </c>
      <c r="Q9" s="15">
        <f t="shared" si="1"/>
        <v>21710.238025859962</v>
      </c>
      <c r="R9" s="15">
        <f t="shared" si="1"/>
        <v>22965.982985225353</v>
      </c>
      <c r="S9" s="15">
        <f t="shared" si="1"/>
        <v>2785.9542917327885</v>
      </c>
      <c r="T9" s="15">
        <f t="shared" si="1"/>
        <v>31257.191416060086</v>
      </c>
      <c r="U9" s="15">
        <f t="shared" si="1"/>
        <v>36187.144882349116</v>
      </c>
      <c r="V9" s="15">
        <f t="shared" si="1"/>
        <v>41885.711834134912</v>
      </c>
      <c r="W9" s="15">
        <f t="shared" si="1"/>
        <v>50807.017349612513</v>
      </c>
      <c r="X9" s="15">
        <f t="shared" si="1"/>
        <v>31810.288780609033</v>
      </c>
      <c r="Y9" s="15">
        <f t="shared" si="1"/>
        <v>37031.608167485298</v>
      </c>
      <c r="Z9" s="15">
        <f>Z5*Z8</f>
        <v>45437.004665428554</v>
      </c>
      <c r="AA9" s="130">
        <f>SUM(G9:Z9)</f>
        <v>382286.31671761244</v>
      </c>
      <c r="AB9" s="130" t="b">
        <f>Z10=AA9</f>
        <v>1</v>
      </c>
    </row>
    <row r="10" spans="1:28" x14ac:dyDescent="0.2">
      <c r="B10" s="1" t="s">
        <v>207</v>
      </c>
      <c r="F10" s="14" t="s">
        <v>117</v>
      </c>
      <c r="G10" s="15">
        <f>SUM($G9:G9)</f>
        <v>-4686.4633232708939</v>
      </c>
      <c r="H10" s="15">
        <f>SUM($G9:H9)</f>
        <v>-1400.2333692278476</v>
      </c>
      <c r="I10" s="15">
        <f>SUM($G9:I9)</f>
        <v>7106.9814396774</v>
      </c>
      <c r="J10" s="15">
        <f>SUM($G9:J9)</f>
        <v>22110.118814079367</v>
      </c>
      <c r="K10" s="15">
        <f>SUM($G9:K9)</f>
        <v>22159.641960249319</v>
      </c>
      <c r="L10" s="15">
        <f>SUM($G9:L9)</f>
        <v>32269.403585273914</v>
      </c>
      <c r="M10" s="15">
        <f>SUM($G9:M9)</f>
        <v>36477.31854535373</v>
      </c>
      <c r="N10" s="15">
        <f>SUM($G9:N9)</f>
        <v>42109.880921779943</v>
      </c>
      <c r="O10" s="15">
        <f>SUM($G9:O9)</f>
        <v>43697.429871265856</v>
      </c>
      <c r="P10" s="15">
        <f>SUM($G9:P9)</f>
        <v>60408.174319114834</v>
      </c>
      <c r="Q10" s="15">
        <f>SUM($G9:Q9)</f>
        <v>82118.4123449748</v>
      </c>
      <c r="R10" s="15">
        <f>SUM($G9:R9)</f>
        <v>105084.39533020015</v>
      </c>
      <c r="S10" s="15">
        <f>SUM($G9:S9)</f>
        <v>107870.34962193294</v>
      </c>
      <c r="T10" s="15">
        <f>SUM($G9:T9)</f>
        <v>139127.54103799304</v>
      </c>
      <c r="U10" s="15">
        <f>SUM($G9:U9)</f>
        <v>175314.68592034216</v>
      </c>
      <c r="V10" s="15">
        <f>SUM($G9:V9)</f>
        <v>217200.39775447708</v>
      </c>
      <c r="W10" s="15">
        <f>SUM($G9:W9)</f>
        <v>268007.4151040896</v>
      </c>
      <c r="X10" s="15">
        <f>SUM($G9:X9)</f>
        <v>299817.70388469863</v>
      </c>
      <c r="Y10" s="15">
        <f>SUM($G9:Y9)</f>
        <v>336849.3120521839</v>
      </c>
      <c r="Z10" s="15">
        <f>SUM($G9:Z9)</f>
        <v>382286.31671761244</v>
      </c>
      <c r="AA10" s="131"/>
      <c r="AB10" s="131"/>
    </row>
    <row r="11" spans="1:28" s="95" customFormat="1" hidden="1" x14ac:dyDescent="0.2">
      <c r="F11" s="96"/>
      <c r="G11" s="96">
        <f>IF(G6&gt;0,0.25,0)</f>
        <v>0</v>
      </c>
      <c r="H11" s="96">
        <f t="shared" ref="H11:Z11" si="2">IF(H6&gt;0,0.25,0)</f>
        <v>0</v>
      </c>
      <c r="I11" s="96">
        <f t="shared" si="2"/>
        <v>0.25</v>
      </c>
      <c r="J11" s="96">
        <f t="shared" si="2"/>
        <v>0.25</v>
      </c>
      <c r="K11" s="96">
        <f t="shared" si="2"/>
        <v>0.25</v>
      </c>
      <c r="L11" s="96">
        <f t="shared" si="2"/>
        <v>0.25</v>
      </c>
      <c r="M11" s="96">
        <f t="shared" si="2"/>
        <v>0.25</v>
      </c>
      <c r="N11" s="96">
        <f t="shared" si="2"/>
        <v>0.25</v>
      </c>
      <c r="O11" s="96">
        <f t="shared" si="2"/>
        <v>0.25</v>
      </c>
      <c r="P11" s="96">
        <f t="shared" si="2"/>
        <v>0.25</v>
      </c>
      <c r="Q11" s="96">
        <f t="shared" si="2"/>
        <v>0.25</v>
      </c>
      <c r="R11" s="96">
        <f t="shared" si="2"/>
        <v>0.25</v>
      </c>
      <c r="S11" s="96">
        <f t="shared" si="2"/>
        <v>0.25</v>
      </c>
      <c r="T11" s="96">
        <f t="shared" si="2"/>
        <v>0.25</v>
      </c>
      <c r="U11" s="96">
        <f t="shared" si="2"/>
        <v>0.25</v>
      </c>
      <c r="V11" s="96">
        <f t="shared" si="2"/>
        <v>0.25</v>
      </c>
      <c r="W11" s="96">
        <f t="shared" si="2"/>
        <v>0.25</v>
      </c>
      <c r="X11" s="96">
        <f t="shared" si="2"/>
        <v>0.25</v>
      </c>
      <c r="Y11" s="96">
        <f t="shared" si="2"/>
        <v>0.25</v>
      </c>
      <c r="Z11" s="96">
        <f t="shared" si="2"/>
        <v>0.25</v>
      </c>
      <c r="AA11" s="131"/>
      <c r="AB11" s="131"/>
    </row>
    <row r="12" spans="1:28" s="95" customFormat="1" hidden="1" x14ac:dyDescent="0.2">
      <c r="G12" s="96">
        <f>IF(G10&gt;0,0.25,0)</f>
        <v>0</v>
      </c>
      <c r="H12" s="96">
        <f>IF(H10&gt;0,0.25,0)</f>
        <v>0</v>
      </c>
      <c r="I12" s="96">
        <f>IF(I10&gt;0,0.25,0)</f>
        <v>0.25</v>
      </c>
      <c r="J12" s="96">
        <f t="shared" ref="J12:Z12" si="3">IF(J10&gt;0,0.25,0)</f>
        <v>0.25</v>
      </c>
      <c r="K12" s="96">
        <f t="shared" si="3"/>
        <v>0.25</v>
      </c>
      <c r="L12" s="96">
        <f t="shared" si="3"/>
        <v>0.25</v>
      </c>
      <c r="M12" s="96">
        <f t="shared" si="3"/>
        <v>0.25</v>
      </c>
      <c r="N12" s="96">
        <f t="shared" si="3"/>
        <v>0.25</v>
      </c>
      <c r="O12" s="96">
        <f t="shared" si="3"/>
        <v>0.25</v>
      </c>
      <c r="P12" s="96">
        <f t="shared" si="3"/>
        <v>0.25</v>
      </c>
      <c r="Q12" s="96">
        <f t="shared" si="3"/>
        <v>0.25</v>
      </c>
      <c r="R12" s="96">
        <f t="shared" si="3"/>
        <v>0.25</v>
      </c>
      <c r="S12" s="96">
        <f t="shared" si="3"/>
        <v>0.25</v>
      </c>
      <c r="T12" s="96">
        <f t="shared" si="3"/>
        <v>0.25</v>
      </c>
      <c r="U12" s="96">
        <f t="shared" si="3"/>
        <v>0.25</v>
      </c>
      <c r="V12" s="96">
        <f t="shared" si="3"/>
        <v>0.25</v>
      </c>
      <c r="W12" s="96">
        <f t="shared" si="3"/>
        <v>0.25</v>
      </c>
      <c r="X12" s="96">
        <f t="shared" si="3"/>
        <v>0.25</v>
      </c>
      <c r="Y12" s="96">
        <f t="shared" si="3"/>
        <v>0.25</v>
      </c>
      <c r="Z12" s="96">
        <f t="shared" si="3"/>
        <v>0.25</v>
      </c>
      <c r="AA12" s="131"/>
      <c r="AB12" s="131"/>
    </row>
    <row r="13" spans="1:28" s="95" customFormat="1" x14ac:dyDescent="0.2"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131"/>
      <c r="AB13" s="131"/>
    </row>
    <row r="14" spans="1:28" s="95" customFormat="1" x14ac:dyDescent="0.2">
      <c r="A14" s="25" t="s">
        <v>474</v>
      </c>
      <c r="G14" s="3">
        <f>Окружение!D4</f>
        <v>2014</v>
      </c>
      <c r="H14" s="4">
        <f>G14+1</f>
        <v>2015</v>
      </c>
      <c r="I14" s="5">
        <f>H14+1</f>
        <v>2016</v>
      </c>
      <c r="J14" s="6">
        <f>I14+1</f>
        <v>2017</v>
      </c>
      <c r="K14" s="7">
        <f>J14+1</f>
        <v>2018</v>
      </c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131"/>
      <c r="AB14" s="131"/>
    </row>
    <row r="15" spans="1:28" s="95" customFormat="1" x14ac:dyDescent="0.2">
      <c r="A15" s="1"/>
      <c r="B15" s="1" t="s">
        <v>475</v>
      </c>
      <c r="C15" s="1"/>
      <c r="D15" s="1"/>
      <c r="E15" s="1"/>
      <c r="F15" s="1"/>
      <c r="G15" s="68">
        <f>SUM(G5:J5)</f>
        <v>26609.362680988655</v>
      </c>
      <c r="H15" s="68">
        <f>SUM(K5:N5)</f>
        <v>27963.836055548054</v>
      </c>
      <c r="I15" s="68">
        <f>SUM(O5:R5)</f>
        <v>124365.40086696812</v>
      </c>
      <c r="J15" s="68">
        <f>SUM(S5:V5)</f>
        <v>239242.56517157226</v>
      </c>
      <c r="K15" s="68">
        <f>SUM(W5:Z5)</f>
        <v>352274.23269146704</v>
      </c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131"/>
      <c r="AB15" s="131"/>
    </row>
    <row r="16" spans="1:28" s="95" customFormat="1" x14ac:dyDescent="0.2">
      <c r="A16" s="1"/>
      <c r="B16" s="1" t="s">
        <v>476</v>
      </c>
      <c r="C16" s="1"/>
      <c r="D16" s="1"/>
      <c r="E16" s="1"/>
      <c r="F16" s="1"/>
      <c r="G16" s="267" t="s">
        <v>312</v>
      </c>
      <c r="H16" s="267">
        <f>IF(H15=0,"-",(H15-G15)/H15)</f>
        <v>4.8436608334737737E-2</v>
      </c>
      <c r="I16" s="267">
        <f>IF(I15=0,"-",(I15-H15)/I15)</f>
        <v>0.77514778338180601</v>
      </c>
      <c r="J16" s="267">
        <f>IF(J15=0,"-",(J15-I15)/J15)</f>
        <v>0.48017025825743109</v>
      </c>
      <c r="K16" s="267">
        <f>IF(K15=0,"-",(K15-J15)/K15)</f>
        <v>0.32086271725383758</v>
      </c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131"/>
      <c r="AB16" s="131"/>
    </row>
    <row r="17" spans="1:28" s="95" customFormat="1" x14ac:dyDescent="0.2">
      <c r="A17" s="1"/>
      <c r="B17" s="1" t="s">
        <v>480</v>
      </c>
      <c r="C17" s="1"/>
      <c r="D17" s="1"/>
      <c r="E17" s="1"/>
      <c r="F17" s="1"/>
      <c r="G17" s="267">
        <f>'Финан-е'!E80</f>
        <v>0.20719888404579612</v>
      </c>
      <c r="H17" s="267">
        <f>'Финан-е'!F80</f>
        <v>0.26316954712138196</v>
      </c>
      <c r="I17" s="267">
        <f>'Финан-е'!G80</f>
        <v>0.40001015492665704</v>
      </c>
      <c r="J17" s="267">
        <f>'Финан-е'!H80</f>
        <v>0</v>
      </c>
      <c r="K17" s="267">
        <f>'Финан-е'!I80</f>
        <v>0</v>
      </c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131"/>
      <c r="AB17" s="131"/>
    </row>
    <row r="18" spans="1:28" s="95" customFormat="1" x14ac:dyDescent="0.2">
      <c r="A18" s="1"/>
      <c r="B18" s="1" t="s">
        <v>477</v>
      </c>
      <c r="C18" s="1"/>
      <c r="D18" s="1"/>
      <c r="E18" s="1"/>
      <c r="F18" s="1"/>
      <c r="G18" s="268">
        <v>0</v>
      </c>
      <c r="H18" s="2"/>
      <c r="I18" s="2"/>
      <c r="J18" s="2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131"/>
      <c r="AB18" s="131"/>
    </row>
    <row r="19" spans="1:28" s="95" customFormat="1" x14ac:dyDescent="0.2">
      <c r="A19" s="1"/>
      <c r="B19" s="1" t="s">
        <v>478</v>
      </c>
      <c r="C19" s="1"/>
      <c r="D19" s="1"/>
      <c r="E19" s="1"/>
      <c r="F19" s="1"/>
      <c r="G19" s="268">
        <v>0</v>
      </c>
      <c r="H19" s="2"/>
      <c r="I19" s="2"/>
      <c r="J19" s="2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131"/>
      <c r="AB19" s="131"/>
    </row>
    <row r="20" spans="1:28" s="95" customFormat="1" x14ac:dyDescent="0.2">
      <c r="A20" s="1"/>
      <c r="B20" s="1" t="s">
        <v>479</v>
      </c>
      <c r="C20" s="1"/>
      <c r="D20" s="1"/>
      <c r="E20" s="1"/>
      <c r="F20" s="1"/>
      <c r="G20" s="2" t="str">
        <f>IF(G19=0,"-",(K15*(1+G18)/(G19-G18))/((1+G17)*(1+H17)*(1+I17)*(1+J17)*(1+K17)))</f>
        <v>-</v>
      </c>
      <c r="H20" s="2"/>
      <c r="I20" s="2"/>
      <c r="J20" s="2"/>
      <c r="K20" s="2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131"/>
      <c r="AB20" s="131"/>
    </row>
    <row r="21" spans="1:28" s="95" customFormat="1" x14ac:dyDescent="0.2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131"/>
      <c r="AB21" s="131"/>
    </row>
    <row r="22" spans="1:28" s="95" customFormat="1" x14ac:dyDescent="0.2">
      <c r="A22" s="1"/>
      <c r="B22" s="1"/>
      <c r="C22" s="1"/>
      <c r="D22" s="1"/>
      <c r="E22" s="1"/>
      <c r="F22" s="1"/>
      <c r="G22" s="2"/>
      <c r="H22" s="2"/>
      <c r="I22" s="2"/>
      <c r="J22" s="2"/>
      <c r="K22" s="2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131"/>
      <c r="AB22" s="131"/>
    </row>
    <row r="23" spans="1:28" x14ac:dyDescent="0.2">
      <c r="B23" s="27" t="s">
        <v>208</v>
      </c>
      <c r="C23" s="27"/>
      <c r="D23" s="60">
        <f>IF(G20="-",Z10,Z10+G20)</f>
        <v>382286.31671761244</v>
      </c>
      <c r="E23" s="61" t="s">
        <v>117</v>
      </c>
      <c r="AA23" s="131"/>
      <c r="AB23" s="131"/>
    </row>
    <row r="24" spans="1:28" x14ac:dyDescent="0.2">
      <c r="B24" s="27" t="s">
        <v>209</v>
      </c>
      <c r="C24" s="27"/>
      <c r="D24" s="72">
        <f>IF(G9=0,0,IRR(G9:Z9)^4-1)</f>
        <v>1.4862140956342125</v>
      </c>
      <c r="E24" s="59"/>
      <c r="AA24" s="96"/>
      <c r="AB24" s="96"/>
    </row>
    <row r="25" spans="1:28" x14ac:dyDescent="0.2">
      <c r="B25" s="27" t="s">
        <v>210</v>
      </c>
      <c r="C25" s="27"/>
      <c r="D25" s="59">
        <f>5-SUM(G11:Z11)</f>
        <v>0.5</v>
      </c>
      <c r="E25" s="59" t="s">
        <v>212</v>
      </c>
      <c r="F25" s="27"/>
      <c r="H25" s="59"/>
      <c r="I25" s="59"/>
      <c r="AA25" s="96"/>
      <c r="AB25" s="96"/>
    </row>
    <row r="26" spans="1:28" x14ac:dyDescent="0.2">
      <c r="B26" s="27" t="s">
        <v>211</v>
      </c>
      <c r="C26" s="27"/>
      <c r="D26" s="59">
        <f>5-SUM(G12:Z12)</f>
        <v>0.5</v>
      </c>
      <c r="E26" s="59" t="s">
        <v>212</v>
      </c>
      <c r="AA26" s="96"/>
      <c r="AB26" s="96"/>
    </row>
    <row r="27" spans="1:28" x14ac:dyDescent="0.2">
      <c r="B27" s="27" t="s">
        <v>470</v>
      </c>
      <c r="C27" s="27"/>
      <c r="D27" s="266">
        <f>IF('Финан-е'!Y84=0,"-",D23/'Финан-е'!Y84)</f>
        <v>18.684310207952301</v>
      </c>
      <c r="E27" s="59"/>
      <c r="AA27" s="96"/>
      <c r="AB27" s="96"/>
    </row>
    <row r="28" spans="1:28" x14ac:dyDescent="0.2">
      <c r="AA28" s="96"/>
      <c r="AB28" s="96"/>
    </row>
    <row r="29" spans="1:28" x14ac:dyDescent="0.2">
      <c r="AA29" s="96"/>
      <c r="AB29" s="96"/>
    </row>
    <row r="30" spans="1:28" x14ac:dyDescent="0.2">
      <c r="A30" s="25" t="s">
        <v>82</v>
      </c>
      <c r="AA30" s="96"/>
      <c r="AB30" s="96"/>
    </row>
    <row r="31" spans="1:28" x14ac:dyDescent="0.2">
      <c r="B31" s="27" t="s">
        <v>250</v>
      </c>
      <c r="C31" s="27"/>
      <c r="F31" s="2" t="s">
        <v>108</v>
      </c>
      <c r="G31" s="3" t="s">
        <v>87</v>
      </c>
      <c r="H31" s="3" t="s">
        <v>88</v>
      </c>
      <c r="I31" s="3" t="s">
        <v>89</v>
      </c>
      <c r="J31" s="3" t="s">
        <v>90</v>
      </c>
      <c r="K31" s="4" t="s">
        <v>91</v>
      </c>
      <c r="L31" s="4" t="s">
        <v>92</v>
      </c>
      <c r="M31" s="4" t="s">
        <v>93</v>
      </c>
      <c r="N31" s="4" t="s">
        <v>94</v>
      </c>
      <c r="O31" s="5" t="s">
        <v>95</v>
      </c>
      <c r="P31" s="5" t="s">
        <v>96</v>
      </c>
      <c r="Q31" s="5" t="s">
        <v>97</v>
      </c>
      <c r="R31" s="5" t="s">
        <v>98</v>
      </c>
      <c r="S31" s="6" t="s">
        <v>99</v>
      </c>
      <c r="T31" s="6" t="s">
        <v>100</v>
      </c>
      <c r="U31" s="6" t="s">
        <v>101</v>
      </c>
      <c r="V31" s="6" t="s">
        <v>102</v>
      </c>
      <c r="W31" s="7" t="s">
        <v>103</v>
      </c>
      <c r="X31" s="7" t="s">
        <v>104</v>
      </c>
      <c r="Y31" s="7" t="s">
        <v>105</v>
      </c>
      <c r="Z31" s="7" t="s">
        <v>106</v>
      </c>
      <c r="AA31" s="96"/>
      <c r="AB31" s="96"/>
    </row>
    <row r="32" spans="1:28" s="100" customFormat="1" x14ac:dyDescent="0.2">
      <c r="B32" s="101"/>
      <c r="C32" s="92" t="s">
        <v>111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103"/>
      <c r="AB32" s="103"/>
    </row>
    <row r="33" spans="2:28" x14ac:dyDescent="0.2">
      <c r="D33" s="1" t="s">
        <v>110</v>
      </c>
      <c r="F33" s="14" t="s">
        <v>114</v>
      </c>
      <c r="G33" s="15">
        <f>'Пр-во и Продажи'!E20</f>
        <v>3076.9230769230767</v>
      </c>
      <c r="H33" s="15">
        <f>'Пр-во и Продажи'!F20</f>
        <v>10769.23076923077</v>
      </c>
      <c r="I33" s="15">
        <f>'Пр-во и Продажи'!G20</f>
        <v>20000</v>
      </c>
      <c r="J33" s="15">
        <f>'Пр-во и Продажи'!H20</f>
        <v>30769.23076923077</v>
      </c>
      <c r="K33" s="15">
        <f>'Пр-во и Продажи'!I20</f>
        <v>34615.384615384617</v>
      </c>
      <c r="L33" s="15">
        <f>'Пр-во и Продажи'!J20</f>
        <v>39230.769230769227</v>
      </c>
      <c r="M33" s="15">
        <f>'Пр-во и Продажи'!K20</f>
        <v>46923.076923076922</v>
      </c>
      <c r="N33" s="15">
        <f>'Пр-во и Продажи'!L20</f>
        <v>53076.923076923078</v>
      </c>
      <c r="O33" s="15">
        <f>'Пр-во и Продажи'!M20</f>
        <v>65384.615384615383</v>
      </c>
      <c r="P33" s="15">
        <f>'Пр-во и Продажи'!N20</f>
        <v>76923.076923076922</v>
      </c>
      <c r="Q33" s="15">
        <f>'Пр-во и Продажи'!O20</f>
        <v>86153.846153846156</v>
      </c>
      <c r="R33" s="15">
        <f>'Пр-во и Продажи'!P20</f>
        <v>96153.846153846156</v>
      </c>
      <c r="S33" s="15">
        <f>'Пр-во и Продажи'!Q20</f>
        <v>108461.53846153845</v>
      </c>
      <c r="T33" s="15">
        <f>'Пр-во и Продажи'!R20</f>
        <v>122307.6923076923</v>
      </c>
      <c r="U33" s="15">
        <f>'Пр-во и Продажи'!S20</f>
        <v>144615.38461538462</v>
      </c>
      <c r="V33" s="15">
        <f>'Пр-во и Продажи'!T20</f>
        <v>153846.15384615384</v>
      </c>
      <c r="W33" s="15">
        <f>'Пр-во и Продажи'!U20</f>
        <v>108461.53846153845</v>
      </c>
      <c r="X33" s="15">
        <f>'Пр-во и Продажи'!V20</f>
        <v>122307.6923076923</v>
      </c>
      <c r="Y33" s="15">
        <f>'Пр-во и Продажи'!W20</f>
        <v>144615.38461538462</v>
      </c>
      <c r="Z33" s="15">
        <f>'Пр-во и Продажи'!X20</f>
        <v>153846.15384615384</v>
      </c>
      <c r="AA33" s="96"/>
      <c r="AB33" s="96"/>
    </row>
    <row r="34" spans="2:28" x14ac:dyDescent="0.2">
      <c r="D34" s="1" t="s">
        <v>83</v>
      </c>
      <c r="F34" s="14" t="s">
        <v>116</v>
      </c>
      <c r="G34" s="15">
        <f>IF(G33=0, 0, Затраты!F84)</f>
        <v>106.16363636363636</v>
      </c>
      <c r="H34" s="15">
        <f>IF(H33=0, 0, Затраты!G84)</f>
        <v>108.10054956026455</v>
      </c>
      <c r="I34" s="15">
        <f>IF(I33=0, 0, Затраты!H84)</f>
        <v>110.07280096552776</v>
      </c>
      <c r="J34" s="15">
        <f>IF(J33=0, 0, Затраты!I84)</f>
        <v>112.08103531094611</v>
      </c>
      <c r="K34" s="15">
        <f>IF(K33=0, 0, Затраты!J84)</f>
        <v>114.19220357665644</v>
      </c>
      <c r="L34" s="15">
        <f>IF(L33=0, 0, Затраты!K84)</f>
        <v>116.34313799400675</v>
      </c>
      <c r="M34" s="15">
        <f>IF(M33=0, 0, Затраты!L84)</f>
        <v>118.53458760173636</v>
      </c>
      <c r="N34" s="15">
        <f>IF(N33=0, 0, Затраты!M84)</f>
        <v>120.76731554754446</v>
      </c>
      <c r="O34" s="15">
        <f>IF(O33=0, 0, Затраты!N84)</f>
        <v>122.53943655809104</v>
      </c>
      <c r="P34" s="15">
        <f>IF(P33=0, 0, Затраты!O84)</f>
        <v>124.33756139973863</v>
      </c>
      <c r="Q34" s="15">
        <f>IF(Q33=0, 0, Затраты!P84)</f>
        <v>126.16207164870465</v>
      </c>
      <c r="R34" s="15">
        <f>IF(R33=0, 0, Затраты!Q84)</f>
        <v>128.01335448039708</v>
      </c>
      <c r="S34" s="15">
        <f>IF(S33=0, 0, Затраты!R84)</f>
        <v>129.58436437662823</v>
      </c>
      <c r="T34" s="15">
        <f>IF(T33=0, 0, Затраты!S84)</f>
        <v>131.17465407459628</v>
      </c>
      <c r="U34" s="15">
        <f>IF(U33=0, 0, Затраты!T84)</f>
        <v>132.78446018054785</v>
      </c>
      <c r="V34" s="15">
        <f>IF(V33=0, 0, Затраты!U84)</f>
        <v>134.41402220441697</v>
      </c>
      <c r="W34" s="15">
        <f>IF(W33=0, 0, Затраты!V84)</f>
        <v>136.06358259545968</v>
      </c>
      <c r="X34" s="15">
        <f>IF(X33=0, 0, Затраты!W84)</f>
        <v>137.73338677832615</v>
      </c>
      <c r="Y34" s="15">
        <f>IF(Y33=0, 0, Затраты!X84)</f>
        <v>139.42368318957529</v>
      </c>
      <c r="Z34" s="15">
        <f>IF(Z33=0, 0, Затраты!Y84)</f>
        <v>141.13472331463788</v>
      </c>
      <c r="AA34" s="96"/>
      <c r="AB34" s="96"/>
    </row>
    <row r="35" spans="2:28" x14ac:dyDescent="0.2">
      <c r="D35" s="1" t="s">
        <v>84</v>
      </c>
      <c r="F35" s="14" t="s">
        <v>117</v>
      </c>
      <c r="G35" s="15">
        <f>(Затраты!F90-Затраты!F84)*G33/1000</f>
        <v>311.69769249220423</v>
      </c>
      <c r="H35" s="15">
        <f>(Затраты!G90-Затраты!G84)*H33/1000</f>
        <v>681.24681128527459</v>
      </c>
      <c r="I35" s="15">
        <f>(Затраты!H90-Затраты!H84)*I33/1000</f>
        <v>887.56045246590361</v>
      </c>
      <c r="J35" s="15">
        <f>(Затраты!I90-Затраты!I84)*J33/1000</f>
        <v>1108.6044636829988</v>
      </c>
      <c r="K35" s="15">
        <f>(Затраты!J90-Затраты!J84)*K33/1000</f>
        <v>1209.588547232368</v>
      </c>
      <c r="L35" s="15">
        <f>(Затраты!K90-Затраты!K84)*L33/1000</f>
        <v>1125.7654624179486</v>
      </c>
      <c r="M35" s="15">
        <f>(Затраты!L90-Затраты!L84)*M33/1000</f>
        <v>989.87328482254861</v>
      </c>
      <c r="N35" s="15">
        <f>(Затраты!M90-Затраты!M84)*N33/1000</f>
        <v>933.03094572219902</v>
      </c>
      <c r="O35" s="15">
        <f>(Затраты!N90-Затраты!N84)*O33/1000</f>
        <v>993.41398065210876</v>
      </c>
      <c r="P35" s="15">
        <f>(Затраты!O90-Затраты!O84)*P33/1000</f>
        <v>1018.073211542405</v>
      </c>
      <c r="Q35" s="15">
        <f>(Затраты!P90-Затраты!P84)*Q33/1000</f>
        <v>1107.4794677002581</v>
      </c>
      <c r="R35" s="15">
        <f>(Затраты!Q90-Затраты!Q84)*R33/1000</f>
        <v>1141.8463530583485</v>
      </c>
      <c r="S35" s="15">
        <f>(Затраты!R90-Затраты!R84)*S33/1000</f>
        <v>1211.2186557902478</v>
      </c>
      <c r="T35" s="15">
        <f>(Затраты!S90-Затраты!S84)*T33/1000</f>
        <v>1300.9170179900168</v>
      </c>
      <c r="U35" s="15">
        <f>(Затраты!T90-Затраты!T84)*U33/1000</f>
        <v>1455.2775758434821</v>
      </c>
      <c r="V35" s="15">
        <f>(Затраты!U90-Затраты!U84)*V33/1000</f>
        <v>1433.0456674119976</v>
      </c>
      <c r="W35" s="15">
        <f>(Затраты!V90-Затраты!V84)*W33/1000</f>
        <v>1027.8887909012665</v>
      </c>
      <c r="X35" s="15">
        <f>(Затраты!W90-Затраты!W84)*X33/1000</f>
        <v>1095.3207104924393</v>
      </c>
      <c r="Y35" s="15">
        <f>(Затраты!X90-Затраты!X84)*Y33/1000</f>
        <v>1220.5380147504138</v>
      </c>
      <c r="Z35" s="15">
        <f>(Затраты!Y90-Затраты!Y84)*Z33/1000</f>
        <v>1232.5024291190123</v>
      </c>
      <c r="AA35" s="96"/>
      <c r="AB35" s="96"/>
    </row>
    <row r="36" spans="2:28" x14ac:dyDescent="0.2">
      <c r="D36" s="1" t="s">
        <v>85</v>
      </c>
      <c r="F36" s="14" t="s">
        <v>116</v>
      </c>
      <c r="G36" s="15">
        <f>IF(G33=0, 0, 'Пр-во и Продажи'!E29)</f>
        <v>1450</v>
      </c>
      <c r="H36" s="15">
        <f>IF(H33=0, 0, 'Пр-во и Продажи'!F29)</f>
        <v>1410.9960900937326</v>
      </c>
      <c r="I36" s="15">
        <f>IF(I33=0, 0, 'Пр-во и Продажи'!G29)</f>
        <v>1443.5753403662759</v>
      </c>
      <c r="J36" s="15">
        <f>IF(J33=0, 0, 'Пр-во и Продажи'!H29)</f>
        <v>1475.3945155998622</v>
      </c>
      <c r="K36" s="15">
        <f>IF(K33=0, 0, 'Пр-во и Продажи'!I29)</f>
        <v>1520.2158973612079</v>
      </c>
      <c r="L36" s="15">
        <f>IF(L33=0, 0, 'Пр-во и Продажи'!J29)</f>
        <v>1547.1317827598291</v>
      </c>
      <c r="M36" s="15">
        <f>IF(M33=0, 0, 'Пр-во и Продажи'!K29)</f>
        <v>1577.7810590176073</v>
      </c>
      <c r="N36" s="15">
        <f>IF(N33=0, 0, 'Пр-во и Продажи'!L29)</f>
        <v>1612.3651070146557</v>
      </c>
      <c r="O36" s="15">
        <f>IF(O33=0, 0, 'Пр-во и Продажи'!M29)</f>
        <v>1663.478745978136</v>
      </c>
      <c r="P36" s="15">
        <f>IF(P33=0, 0, 'Пр-во и Продажи'!N29)</f>
        <v>1687.6816969920001</v>
      </c>
      <c r="Q36" s="15">
        <f>IF(Q33=0, 0, 'Пр-во и Продажи'!O29)</f>
        <v>1716.7755541583422</v>
      </c>
      <c r="R36" s="15">
        <f>IF(R33=0, 0, 'Пр-во и Продажи'!P29)</f>
        <v>1752.7678821713978</v>
      </c>
      <c r="S36" s="15">
        <f>IF(S33=0, 0, 'Пр-во и Продажи'!Q29)</f>
        <v>1776.3766703890408</v>
      </c>
      <c r="T36" s="15">
        <f>IF(T33=0, 0, 'Пр-во и Продажи'!R29)</f>
        <v>1809.0892521347257</v>
      </c>
      <c r="U36" s="15">
        <f>IF(U33=0, 0, 'Пр-во и Продажи'!S29)</f>
        <v>1845.5256009432351</v>
      </c>
      <c r="V36" s="15">
        <f>IF(V33=0, 0, 'Пр-во и Продажи'!T29)</f>
        <v>1873.8313765095988</v>
      </c>
      <c r="W36" s="15">
        <f>IF(W33=0, 0, 'Пр-во и Продажи'!U29)</f>
        <v>1865.1955039084937</v>
      </c>
      <c r="X36" s="15">
        <f>IF(X33=0, 0, 'Пр-во и Продажи'!V29)</f>
        <v>1899.5437147414625</v>
      </c>
      <c r="Y36" s="15">
        <f>IF(Y33=0, 0, 'Пр-во и Продажи'!W29)</f>
        <v>1937.8018809903976</v>
      </c>
      <c r="Z36" s="15">
        <f>IF(Z33=0, 0, 'Пр-во и Продажи'!X29)</f>
        <v>1967.5229453350794</v>
      </c>
      <c r="AA36" s="96"/>
      <c r="AB36" s="96"/>
    </row>
    <row r="37" spans="2:28" x14ac:dyDescent="0.2">
      <c r="C37" s="92" t="s">
        <v>112</v>
      </c>
      <c r="D37" s="100"/>
      <c r="E37" s="100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96"/>
      <c r="AB37" s="96"/>
    </row>
    <row r="38" spans="2:28" x14ac:dyDescent="0.2">
      <c r="D38" s="1" t="s">
        <v>110</v>
      </c>
      <c r="F38" s="14" t="s">
        <v>114</v>
      </c>
      <c r="G38" s="15">
        <f>'Пр-во и Продажи'!E21</f>
        <v>38571.428571428572</v>
      </c>
      <c r="H38" s="15">
        <f>'Пр-во и Продажи'!F21</f>
        <v>57142.857142857145</v>
      </c>
      <c r="I38" s="15">
        <f>'Пр-во и Продажи'!G21</f>
        <v>78571.42857142858</v>
      </c>
      <c r="J38" s="15">
        <f>'Пр-во и Продажи'!H21</f>
        <v>92857.14285714287</v>
      </c>
      <c r="K38" s="15">
        <f>'Пр-во и Продажи'!I21</f>
        <v>170000</v>
      </c>
      <c r="L38" s="15">
        <f>'Пр-во и Продажи'!J21</f>
        <v>220000</v>
      </c>
      <c r="M38" s="15">
        <f>'Пр-во и Продажи'!K21</f>
        <v>340000</v>
      </c>
      <c r="N38" s="15">
        <f>'Пр-во и Продажи'!L21</f>
        <v>420000</v>
      </c>
      <c r="O38" s="15">
        <f>'Пр-во и Продажи'!M21</f>
        <v>490000</v>
      </c>
      <c r="P38" s="15">
        <f>'Пр-во и Продажи'!N21</f>
        <v>570000</v>
      </c>
      <c r="Q38" s="15">
        <f>'Пр-во и Продажи'!O21</f>
        <v>620000</v>
      </c>
      <c r="R38" s="15">
        <f>'Пр-во и Продажи'!P21</f>
        <v>680000</v>
      </c>
      <c r="S38" s="15">
        <f>'Пр-во и Продажи'!Q21</f>
        <v>730000</v>
      </c>
      <c r="T38" s="15">
        <f>'Пр-во и Продажи'!R21</f>
        <v>770000</v>
      </c>
      <c r="U38" s="15">
        <f>'Пр-во и Продажи'!S21</f>
        <v>810000</v>
      </c>
      <c r="V38" s="15">
        <f>'Пр-во и Продажи'!T21</f>
        <v>890000</v>
      </c>
      <c r="W38" s="15">
        <f>'Пр-во и Продажи'!U21</f>
        <v>930000</v>
      </c>
      <c r="X38" s="15">
        <f>'Пр-во и Продажи'!V21</f>
        <v>990000</v>
      </c>
      <c r="Y38" s="15">
        <f>'Пр-во и Продажи'!W21</f>
        <v>1050000</v>
      </c>
      <c r="Z38" s="15">
        <f>'Пр-во и Продажи'!X21</f>
        <v>1120000</v>
      </c>
      <c r="AA38" s="96"/>
      <c r="AB38" s="96"/>
    </row>
    <row r="39" spans="2:28" x14ac:dyDescent="0.2">
      <c r="D39" s="1" t="s">
        <v>83</v>
      </c>
      <c r="F39" s="14" t="s">
        <v>116</v>
      </c>
      <c r="G39" s="15">
        <f>Затраты!F93</f>
        <v>91.090909090909079</v>
      </c>
      <c r="H39" s="15">
        <f>Затраты!G93</f>
        <v>92.752826390978825</v>
      </c>
      <c r="I39" s="15">
        <f>Затраты!H93</f>
        <v>94.445064709247148</v>
      </c>
      <c r="J39" s="15">
        <f>Затраты!I93</f>
        <v>96.16817724059598</v>
      </c>
      <c r="K39" s="15">
        <f>Затраты!J93</f>
        <v>97.979609508314567</v>
      </c>
      <c r="L39" s="15">
        <f>Затраты!K93</f>
        <v>99.825162073980792</v>
      </c>
      <c r="M39" s="15">
        <f>Затраты!L93</f>
        <v>101.70547763053594</v>
      </c>
      <c r="N39" s="15">
        <f>Затраты!M93</f>
        <v>103.62121097674219</v>
      </c>
      <c r="O39" s="15">
        <f>Затраты!N93</f>
        <v>105.14173268642509</v>
      </c>
      <c r="P39" s="15">
        <f>Затраты!O93</f>
        <v>106.68456629777201</v>
      </c>
      <c r="Q39" s="15">
        <f>Затраты!P93</f>
        <v>108.25003921219562</v>
      </c>
      <c r="R39" s="15">
        <f>Затраты!Q93</f>
        <v>109.83848363534671</v>
      </c>
      <c r="S39" s="15">
        <f>Затраты!R93</f>
        <v>111.18644725584988</v>
      </c>
      <c r="T39" s="15">
        <f>Затраты!S93</f>
        <v>112.55095340190572</v>
      </c>
      <c r="U39" s="15">
        <f>Затраты!T93</f>
        <v>113.93220508726577</v>
      </c>
      <c r="V39" s="15">
        <f>Затраты!U93</f>
        <v>115.33040781711405</v>
      </c>
      <c r="W39" s="15">
        <f>Затраты!V93</f>
        <v>116.7457696186424</v>
      </c>
      <c r="X39" s="15">
        <f>Затраты!W93</f>
        <v>118.17850107200103</v>
      </c>
      <c r="Y39" s="15">
        <f>Затраты!X93</f>
        <v>119.62881534162909</v>
      </c>
      <c r="Z39" s="15">
        <f>Затраты!Y93</f>
        <v>121.09692820796982</v>
      </c>
      <c r="AA39" s="96"/>
      <c r="AB39" s="96"/>
    </row>
    <row r="40" spans="2:28" x14ac:dyDescent="0.2">
      <c r="D40" s="1" t="s">
        <v>84</v>
      </c>
      <c r="F40" s="14" t="s">
        <v>117</v>
      </c>
      <c r="G40" s="15">
        <f>(Затраты!F99-Затраты!F93)*G38/1000</f>
        <v>3907.3532165987044</v>
      </c>
      <c r="H40" s="15">
        <f>(Затраты!G99-Затраты!G93)*H38/1000</f>
        <v>3614.778998656559</v>
      </c>
      <c r="I40" s="15">
        <f>(Затраты!H99-Затраты!H93)*I38/1000</f>
        <v>3486.8446346874775</v>
      </c>
      <c r="J40" s="15">
        <f>(Затраты!I99-Затраты!I93)*J38/1000</f>
        <v>3345.6098993290511</v>
      </c>
      <c r="K40" s="15">
        <f>(Затраты!J99-Затраты!J93)*K38/1000</f>
        <v>5940.4237541856292</v>
      </c>
      <c r="L40" s="15">
        <f>(Затраты!K99-Затраты!K93)*L38/1000</f>
        <v>6313.1161225790884</v>
      </c>
      <c r="M40" s="15">
        <f>(Затраты!L99-Затраты!L93)*M38/1000</f>
        <v>7172.5244572387955</v>
      </c>
      <c r="N40" s="15">
        <f>(Затраты!M99-Затраты!M93)*N38/1000</f>
        <v>7383.114440062619</v>
      </c>
      <c r="O40" s="15">
        <f>(Затраты!N99-Затраты!N93)*O38/1000</f>
        <v>7444.7612432399219</v>
      </c>
      <c r="P40" s="15">
        <f>(Затраты!O99-Затраты!O93)*P38/1000</f>
        <v>7543.9224975292136</v>
      </c>
      <c r="Q40" s="15">
        <f>(Затраты!P99-Затраты!P93)*Q38/1000</f>
        <v>7969.8968836286604</v>
      </c>
      <c r="R40" s="15">
        <f>(Затраты!Q99-Затраты!Q93)*R38/1000</f>
        <v>8075.1374088286311</v>
      </c>
      <c r="S40" s="15">
        <f>(Затраты!R99-Затраты!R93)*S38/1000</f>
        <v>8152.1028676946362</v>
      </c>
      <c r="T40" s="15">
        <f>(Затраты!S99-Затраты!S93)*T38/1000</f>
        <v>8190.0499057107254</v>
      </c>
      <c r="U40" s="15">
        <f>(Затраты!T99-Затраты!T93)*U38/1000</f>
        <v>8151.102592357387</v>
      </c>
      <c r="V40" s="15">
        <f>(Затраты!U99-Затраты!U93)*V38/1000</f>
        <v>8290.1691859784187</v>
      </c>
      <c r="W40" s="15">
        <f>(Затраты!V99-Затраты!V93)*W38/1000</f>
        <v>8813.5996326215118</v>
      </c>
      <c r="X40" s="15">
        <f>(Затраты!W99-Затраты!W93)*X38/1000</f>
        <v>8865.8978264387879</v>
      </c>
      <c r="Y40" s="15">
        <f>(Затраты!X99-Затраты!X93)*Y38/1000</f>
        <v>8861.8850539059313</v>
      </c>
      <c r="Z40" s="15">
        <f>(Затраты!Y99-Затраты!Y93)*Z38/1000</f>
        <v>8972.6176839863765</v>
      </c>
      <c r="AA40" s="96"/>
      <c r="AB40" s="96"/>
    </row>
    <row r="41" spans="2:28" x14ac:dyDescent="0.2">
      <c r="D41" s="1" t="s">
        <v>85</v>
      </c>
      <c r="F41" s="14" t="s">
        <v>116</v>
      </c>
      <c r="G41" s="15">
        <f>IF(G38=0, 0, 'Пр-во и Продажи'!E34)</f>
        <v>220.74074074074073</v>
      </c>
      <c r="H41" s="15">
        <f>IF(H38=0, 0, 'Пр-во и Продажи'!F34)</f>
        <v>234.19625825267107</v>
      </c>
      <c r="I41" s="15">
        <f>IF(I38=0, 0, 'Пр-во и Продажи'!G34)</f>
        <v>237.52651004720838</v>
      </c>
      <c r="J41" s="15">
        <f>IF(J38=0, 0, 'Пр-во и Продажи'!H34)</f>
        <v>243.63195523872773</v>
      </c>
      <c r="K41" s="15">
        <f>IF(K38=0, 0, 'Пр-во и Продажи'!I34)</f>
        <v>245.49546400228161</v>
      </c>
      <c r="L41" s="15">
        <f>IF(L38=0, 0, 'Пр-во и Продажи'!J34)</f>
        <v>251.05729383875411</v>
      </c>
      <c r="M41" s="15">
        <f>IF(M38=0, 0, 'Пр-во и Продажи'!K34)</f>
        <v>268.62330859444705</v>
      </c>
      <c r="N41" s="15">
        <f>IF(N38=0, 0, 'Пр-во и Продажи'!L34)</f>
        <v>276.26413533861972</v>
      </c>
      <c r="O41" s="15">
        <f>IF(O38=0, 0, 'Пр-во и Продажи'!M34)</f>
        <v>281.96692213168745</v>
      </c>
      <c r="P41" s="15">
        <f>IF(P38=0, 0, 'Пр-во и Продажи'!N34)</f>
        <v>289.71489009322471</v>
      </c>
      <c r="Q41" s="15">
        <f>IF(Q38=0, 0, 'Пр-во и Продажи'!O34)</f>
        <v>293.83497701938938</v>
      </c>
      <c r="R41" s="15">
        <f>IF(R38=0, 0, 'Пр-во и Продажи'!P34)</f>
        <v>297.19711816092115</v>
      </c>
      <c r="S41" s="15">
        <f>IF(S38=0, 0, 'Пр-во и Продажи'!Q34)</f>
        <v>300.47063447165738</v>
      </c>
      <c r="T41" s="15">
        <f>IF(T38=0, 0, 'Пр-во и Продажи'!R34)</f>
        <v>304.56474131282721</v>
      </c>
      <c r="U41" s="15">
        <f>IF(U38=0, 0, 'Пр-во и Продажи'!S34)</f>
        <v>308.67342569969776</v>
      </c>
      <c r="V41" s="15">
        <f>IF(V38=0, 0, 'Пр-во и Продажи'!T34)</f>
        <v>313.11136195700169</v>
      </c>
      <c r="W41" s="15">
        <f>IF(W38=0, 0, 'Пр-во и Продажи'!U34)</f>
        <v>317.24039858812091</v>
      </c>
      <c r="X41" s="15">
        <f>IF(X38=0, 0, 'Пр-во и Продажи'!V34)</f>
        <v>322.24543594594201</v>
      </c>
      <c r="Y41" s="15">
        <f>IF(Y38=0, 0, 'Пр-во и Продажи'!W34)</f>
        <v>327.19691952007588</v>
      </c>
      <c r="Z41" s="15">
        <f>IF(Z38=0, 0, 'Пр-во и Продажи'!X34)</f>
        <v>330.21530127426331</v>
      </c>
      <c r="AA41" s="96"/>
      <c r="AB41" s="96"/>
    </row>
    <row r="42" spans="2:28" x14ac:dyDescent="0.2">
      <c r="F42" s="14"/>
      <c r="AA42" s="96"/>
      <c r="AB42" s="96"/>
    </row>
    <row r="43" spans="2:28" x14ac:dyDescent="0.2">
      <c r="B43" s="101" t="s">
        <v>82</v>
      </c>
      <c r="C43" s="27"/>
      <c r="F43" s="2" t="s">
        <v>108</v>
      </c>
      <c r="G43" s="3" t="s">
        <v>87</v>
      </c>
      <c r="H43" s="3" t="s">
        <v>88</v>
      </c>
      <c r="I43" s="3" t="s">
        <v>89</v>
      </c>
      <c r="J43" s="3" t="s">
        <v>90</v>
      </c>
      <c r="K43" s="4" t="s">
        <v>91</v>
      </c>
      <c r="L43" s="4" t="s">
        <v>92</v>
      </c>
      <c r="M43" s="4" t="s">
        <v>93</v>
      </c>
      <c r="N43" s="4" t="s">
        <v>94</v>
      </c>
      <c r="O43" s="5" t="s">
        <v>95</v>
      </c>
      <c r="P43" s="5" t="s">
        <v>96</v>
      </c>
      <c r="Q43" s="5" t="s">
        <v>97</v>
      </c>
      <c r="R43" s="5" t="s">
        <v>98</v>
      </c>
      <c r="S43" s="6" t="s">
        <v>99</v>
      </c>
      <c r="T43" s="6" t="s">
        <v>100</v>
      </c>
      <c r="U43" s="6" t="s">
        <v>101</v>
      </c>
      <c r="V43" s="6" t="s">
        <v>102</v>
      </c>
      <c r="W43" s="7" t="s">
        <v>103</v>
      </c>
      <c r="X43" s="7" t="s">
        <v>104</v>
      </c>
      <c r="Y43" s="7" t="s">
        <v>105</v>
      </c>
      <c r="Z43" s="7" t="s">
        <v>106</v>
      </c>
      <c r="AA43" s="96"/>
      <c r="AB43" s="96"/>
    </row>
    <row r="44" spans="2:28" s="100" customFormat="1" x14ac:dyDescent="0.2">
      <c r="B44" s="101"/>
      <c r="C44" s="92" t="s">
        <v>111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103"/>
      <c r="AB44" s="103"/>
    </row>
    <row r="45" spans="2:28" x14ac:dyDescent="0.2">
      <c r="D45" s="1" t="s">
        <v>86</v>
      </c>
      <c r="F45" s="14" t="s">
        <v>114</v>
      </c>
      <c r="G45" s="15">
        <f>IF(G36-G34=0, 0, G35/(G36-G34)*1000)</f>
        <v>231.94616616026349</v>
      </c>
      <c r="H45" s="15">
        <f t="shared" ref="H45:Z45" si="4">IF(H36-H34=0, 0, H35/(H36-H34)*1000)</f>
        <v>522.8713968936753</v>
      </c>
      <c r="I45" s="15">
        <f t="shared" si="4"/>
        <v>665.58587347329467</v>
      </c>
      <c r="J45" s="15">
        <f t="shared" si="4"/>
        <v>813.16914980409433</v>
      </c>
      <c r="K45" s="15">
        <f t="shared" si="4"/>
        <v>860.29030135086498</v>
      </c>
      <c r="L45" s="15">
        <f t="shared" si="4"/>
        <v>786.81464696849264</v>
      </c>
      <c r="M45" s="15">
        <f t="shared" si="4"/>
        <v>678.34550517165121</v>
      </c>
      <c r="N45" s="15">
        <f t="shared" si="4"/>
        <v>625.52448861196365</v>
      </c>
      <c r="O45" s="15">
        <f t="shared" si="4"/>
        <v>644.68079604380694</v>
      </c>
      <c r="P45" s="15">
        <f t="shared" si="4"/>
        <v>651.21503856008997</v>
      </c>
      <c r="Q45" s="15">
        <f t="shared" si="4"/>
        <v>696.2593237628663</v>
      </c>
      <c r="R45" s="15">
        <f t="shared" si="4"/>
        <v>702.78084079634414</v>
      </c>
      <c r="S45" s="15">
        <f t="shared" si="4"/>
        <v>735.50176993668708</v>
      </c>
      <c r="T45" s="15">
        <f t="shared" si="4"/>
        <v>775.31777808836807</v>
      </c>
      <c r="U45" s="15">
        <f t="shared" si="4"/>
        <v>849.67747968933816</v>
      </c>
      <c r="V45" s="15">
        <f t="shared" si="4"/>
        <v>823.86533850838475</v>
      </c>
      <c r="W45" s="15">
        <f t="shared" si="4"/>
        <v>594.45365517324353</v>
      </c>
      <c r="X45" s="15">
        <f t="shared" si="4"/>
        <v>621.70183311319397</v>
      </c>
      <c r="Y45" s="15">
        <f t="shared" si="4"/>
        <v>678.68817373507409</v>
      </c>
      <c r="Z45" s="15">
        <f t="shared" si="4"/>
        <v>674.83047375084197</v>
      </c>
      <c r="AA45" s="96"/>
      <c r="AB45" s="96"/>
    </row>
    <row r="46" spans="2:28" x14ac:dyDescent="0.2">
      <c r="D46" s="1" t="s">
        <v>86</v>
      </c>
      <c r="F46" s="14" t="s">
        <v>117</v>
      </c>
      <c r="G46" s="15">
        <f>G45*G36/1000</f>
        <v>336.32194093238206</v>
      </c>
      <c r="H46" s="15">
        <f t="shared" ref="H46:Z46" si="5">H45*H36/1000</f>
        <v>737.76949663882408</v>
      </c>
      <c r="I46" s="15">
        <f t="shared" si="5"/>
        <v>960.82335384219641</v>
      </c>
      <c r="J46" s="15">
        <f t="shared" si="5"/>
        <v>1199.7453038759634</v>
      </c>
      <c r="K46" s="15">
        <f t="shared" si="5"/>
        <v>1307.8269924592491</v>
      </c>
      <c r="L46" s="15">
        <f t="shared" si="5"/>
        <v>1217.3059474659096</v>
      </c>
      <c r="M46" s="15">
        <f t="shared" si="5"/>
        <v>1070.2806895295616</v>
      </c>
      <c r="N46" s="15">
        <f t="shared" si="5"/>
        <v>1008.5738590211165</v>
      </c>
      <c r="O46" s="15">
        <f t="shared" si="5"/>
        <v>1072.4128021591384</v>
      </c>
      <c r="P46" s="15">
        <f t="shared" si="5"/>
        <v>1099.0437013838034</v>
      </c>
      <c r="Q46" s="15">
        <f t="shared" si="5"/>
        <v>1195.3209863909074</v>
      </c>
      <c r="R46" s="15">
        <f t="shared" si="5"/>
        <v>1231.8116859532424</v>
      </c>
      <c r="S46" s="15">
        <f t="shared" si="5"/>
        <v>1306.5281851453785</v>
      </c>
      <c r="T46" s="15">
        <f t="shared" si="5"/>
        <v>1402.6190593286431</v>
      </c>
      <c r="U46" s="15">
        <f t="shared" si="5"/>
        <v>1568.1015413115992</v>
      </c>
      <c r="V46" s="15">
        <f t="shared" si="5"/>
        <v>1543.7847213157131</v>
      </c>
      <c r="W46" s="15">
        <f t="shared" si="5"/>
        <v>1108.772284911104</v>
      </c>
      <c r="X46" s="15">
        <f t="shared" si="5"/>
        <v>1180.9498095334134</v>
      </c>
      <c r="Y46" s="15">
        <f t="shared" si="5"/>
        <v>1315.1632196697644</v>
      </c>
      <c r="Z46" s="15">
        <f t="shared" si="5"/>
        <v>1327.7444413161236</v>
      </c>
      <c r="AA46" s="96"/>
      <c r="AB46" s="96"/>
    </row>
    <row r="47" spans="2:28" x14ac:dyDescent="0.2">
      <c r="D47" s="1" t="s">
        <v>247</v>
      </c>
      <c r="F47" s="14" t="s">
        <v>116</v>
      </c>
      <c r="G47" s="15">
        <f>IF(G33=0, 0, G35/G33*1000+G34)</f>
        <v>207.46538642360275</v>
      </c>
      <c r="H47" s="15">
        <f t="shared" ref="H47:Z47" si="6">IF(H33=0, 0, H35/H33*1000+H34)</f>
        <v>171.35918203675433</v>
      </c>
      <c r="I47" s="15">
        <f t="shared" si="6"/>
        <v>154.45082358882294</v>
      </c>
      <c r="J47" s="15">
        <f t="shared" si="6"/>
        <v>148.11068038064357</v>
      </c>
      <c r="K47" s="15">
        <f t="shared" si="6"/>
        <v>149.13587271892484</v>
      </c>
      <c r="L47" s="15">
        <f t="shared" si="6"/>
        <v>145.03912036936623</v>
      </c>
      <c r="M47" s="15">
        <f t="shared" si="6"/>
        <v>139.63024777008576</v>
      </c>
      <c r="N47" s="15">
        <f t="shared" si="6"/>
        <v>138.34615945245545</v>
      </c>
      <c r="O47" s="15">
        <f t="shared" si="6"/>
        <v>137.73282685041741</v>
      </c>
      <c r="P47" s="15">
        <f t="shared" si="6"/>
        <v>137.5725131497899</v>
      </c>
      <c r="Q47" s="15">
        <f t="shared" si="6"/>
        <v>139.01674404165408</v>
      </c>
      <c r="R47" s="15">
        <f t="shared" si="6"/>
        <v>139.88855655220391</v>
      </c>
      <c r="S47" s="15">
        <f t="shared" si="6"/>
        <v>140.75162857894966</v>
      </c>
      <c r="T47" s="15">
        <f t="shared" si="6"/>
        <v>141.81108252357126</v>
      </c>
      <c r="U47" s="15">
        <f t="shared" si="6"/>
        <v>142.84754980074214</v>
      </c>
      <c r="V47" s="15">
        <f t="shared" si="6"/>
        <v>143.72881904259495</v>
      </c>
      <c r="W47" s="15">
        <f t="shared" si="6"/>
        <v>145.54057144774086</v>
      </c>
      <c r="X47" s="15">
        <f t="shared" si="6"/>
        <v>146.68883912826433</v>
      </c>
      <c r="Y47" s="15">
        <f t="shared" si="6"/>
        <v>147.86357371710474</v>
      </c>
      <c r="Z47" s="15">
        <f t="shared" si="6"/>
        <v>149.14598910391146</v>
      </c>
      <c r="AA47" s="96"/>
      <c r="AB47" s="96"/>
    </row>
    <row r="48" spans="2:28" x14ac:dyDescent="0.2">
      <c r="D48" s="1" t="s">
        <v>248</v>
      </c>
      <c r="F48" s="14" t="s">
        <v>117</v>
      </c>
      <c r="G48" s="15">
        <f>G33*G36/1000-G46</f>
        <v>4125.216520606079</v>
      </c>
      <c r="H48" s="15">
        <f t="shared" ref="H48:Z48" si="7">H33*H36/1000-H46</f>
        <v>14457.573012062912</v>
      </c>
      <c r="I48" s="15">
        <f t="shared" si="7"/>
        <v>27910.683453483325</v>
      </c>
      <c r="J48" s="15">
        <f t="shared" si="7"/>
        <v>44197.00902227364</v>
      </c>
      <c r="K48" s="15">
        <f t="shared" si="7"/>
        <v>51315.030993121029</v>
      </c>
      <c r="L48" s="15">
        <f t="shared" si="7"/>
        <v>59477.86399157354</v>
      </c>
      <c r="M48" s="15">
        <f t="shared" si="7"/>
        <v>72964.061310527381</v>
      </c>
      <c r="N48" s="15">
        <f t="shared" si="7"/>
        <v>84570.80489791061</v>
      </c>
      <c r="O48" s="15">
        <f t="shared" si="7"/>
        <v>107693.5052041036</v>
      </c>
      <c r="P48" s="15">
        <f t="shared" si="7"/>
        <v>128722.6252980008</v>
      </c>
      <c r="Q48" s="15">
        <f t="shared" si="7"/>
        <v>146711.49598725088</v>
      </c>
      <c r="R48" s="15">
        <f t="shared" si="7"/>
        <v>167303.56159975808</v>
      </c>
      <c r="S48" s="15">
        <f t="shared" si="7"/>
        <v>191362.01837243518</v>
      </c>
      <c r="T48" s="15">
        <f t="shared" si="7"/>
        <v>219862.91254791856</v>
      </c>
      <c r="U48" s="15">
        <f t="shared" si="7"/>
        <v>265323.29305663321</v>
      </c>
      <c r="V48" s="15">
        <f t="shared" si="7"/>
        <v>286737.96551093028</v>
      </c>
      <c r="W48" s="15">
        <f t="shared" si="7"/>
        <v>201193.20160054858</v>
      </c>
      <c r="X48" s="15">
        <f t="shared" si="7"/>
        <v>231147.8583780762</v>
      </c>
      <c r="Y48" s="15">
        <f t="shared" si="7"/>
        <v>278920.80110817234</v>
      </c>
      <c r="Z48" s="15">
        <f t="shared" si="7"/>
        <v>301368.09330254223</v>
      </c>
      <c r="AA48" s="96"/>
      <c r="AB48" s="96"/>
    </row>
    <row r="49" spans="3:28" x14ac:dyDescent="0.2">
      <c r="D49" s="1" t="s">
        <v>249</v>
      </c>
      <c r="F49" s="14" t="s">
        <v>123</v>
      </c>
      <c r="G49" s="81">
        <f>IF(G33=0,"-",G33/G45-1)</f>
        <v>12.265677669347951</v>
      </c>
      <c r="H49" s="81">
        <f t="shared" ref="H49:Z49" si="8">IF(H33=0,"-",H33/H45-1)</f>
        <v>19.596327955993868</v>
      </c>
      <c r="I49" s="81">
        <f t="shared" si="8"/>
        <v>29.048714669426442</v>
      </c>
      <c r="J49" s="81">
        <f t="shared" si="8"/>
        <v>36.838659738436434</v>
      </c>
      <c r="K49" s="81">
        <f t="shared" si="8"/>
        <v>39.236864882737891</v>
      </c>
      <c r="L49" s="81">
        <f t="shared" si="8"/>
        <v>48.860242665691239</v>
      </c>
      <c r="M49" s="81">
        <f t="shared" si="8"/>
        <v>68.172827954691499</v>
      </c>
      <c r="N49" s="81">
        <f t="shared" si="8"/>
        <v>83.851870779192922</v>
      </c>
      <c r="O49" s="81">
        <f t="shared" si="8"/>
        <v>100.4216892853939</v>
      </c>
      <c r="P49" s="81">
        <f t="shared" si="8"/>
        <v>117.12239025247717</v>
      </c>
      <c r="Q49" s="81">
        <f t="shared" si="8"/>
        <v>122.73815791541004</v>
      </c>
      <c r="R49" s="81">
        <f t="shared" si="8"/>
        <v>135.81910571849264</v>
      </c>
      <c r="S49" s="81">
        <f t="shared" si="8"/>
        <v>146.4660468470048</v>
      </c>
      <c r="T49" s="81">
        <f t="shared" si="8"/>
        <v>156.75169325957606</v>
      </c>
      <c r="U49" s="81">
        <f t="shared" si="8"/>
        <v>169.200326679553</v>
      </c>
      <c r="V49" s="81">
        <f t="shared" si="8"/>
        <v>185.73701472220401</v>
      </c>
      <c r="W49" s="81">
        <f t="shared" si="8"/>
        <v>181.455835736983</v>
      </c>
      <c r="X49" s="81">
        <f t="shared" si="8"/>
        <v>195.73046755424895</v>
      </c>
      <c r="Y49" s="81">
        <f t="shared" si="8"/>
        <v>212.0807493219047</v>
      </c>
      <c r="Z49" s="81">
        <f t="shared" si="8"/>
        <v>226.97748446516698</v>
      </c>
      <c r="AA49" s="96"/>
      <c r="AB49" s="96"/>
    </row>
    <row r="50" spans="3:28" x14ac:dyDescent="0.2">
      <c r="C50" s="92" t="s">
        <v>112</v>
      </c>
      <c r="D50" s="100"/>
      <c r="E50" s="100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96"/>
      <c r="AB50" s="96"/>
    </row>
    <row r="51" spans="3:28" x14ac:dyDescent="0.2">
      <c r="D51" s="1" t="s">
        <v>86</v>
      </c>
      <c r="F51" s="14" t="s">
        <v>114</v>
      </c>
      <c r="G51" s="15">
        <f>IF(G41-G39=0, 0, G40/(G41-G39)*1000)</f>
        <v>30137.742308466612</v>
      </c>
      <c r="H51" s="15">
        <f t="shared" ref="H51:Z51" si="9">IF(H41-H39=0, 0, H40/(H41-H39)*1000)</f>
        <v>25556.358121960737</v>
      </c>
      <c r="I51" s="15">
        <f t="shared" si="9"/>
        <v>24369.649233354343</v>
      </c>
      <c r="J51" s="15">
        <f t="shared" si="9"/>
        <v>22687.67248979229</v>
      </c>
      <c r="K51" s="15">
        <f t="shared" si="9"/>
        <v>40269.73083376998</v>
      </c>
      <c r="L51" s="15">
        <f t="shared" si="9"/>
        <v>41744.542306647621</v>
      </c>
      <c r="M51" s="15">
        <f t="shared" si="9"/>
        <v>42970.390975123257</v>
      </c>
      <c r="N51" s="15">
        <f t="shared" si="9"/>
        <v>42765.230416201957</v>
      </c>
      <c r="O51" s="15">
        <f t="shared" si="9"/>
        <v>42102.379568180841</v>
      </c>
      <c r="P51" s="15">
        <f t="shared" si="9"/>
        <v>41216.790426268359</v>
      </c>
      <c r="Q51" s="15">
        <f t="shared" si="9"/>
        <v>42944.739900760018</v>
      </c>
      <c r="R51" s="15">
        <f t="shared" si="9"/>
        <v>43099.894644708118</v>
      </c>
      <c r="S51" s="15">
        <f t="shared" si="9"/>
        <v>43068.060716557513</v>
      </c>
      <c r="T51" s="15">
        <f t="shared" si="9"/>
        <v>42653.446894710658</v>
      </c>
      <c r="U51" s="15">
        <f t="shared" si="9"/>
        <v>41856.072210718354</v>
      </c>
      <c r="V51" s="15">
        <f t="shared" si="9"/>
        <v>41915.91259143639</v>
      </c>
      <c r="W51" s="15">
        <f t="shared" si="9"/>
        <v>43959.280495056119</v>
      </c>
      <c r="X51" s="15">
        <f t="shared" si="9"/>
        <v>43446.02829417491</v>
      </c>
      <c r="Y51" s="15">
        <f t="shared" si="9"/>
        <v>42693.867099577823</v>
      </c>
      <c r="Z51" s="15">
        <f t="shared" si="9"/>
        <v>42906.883562746203</v>
      </c>
      <c r="AA51" s="96"/>
      <c r="AB51" s="96"/>
    </row>
    <row r="52" spans="3:28" x14ac:dyDescent="0.2">
      <c r="D52" s="1" t="s">
        <v>86</v>
      </c>
      <c r="F52" s="14" t="s">
        <v>117</v>
      </c>
      <c r="G52" s="15">
        <f>G51*G41/1000</f>
        <v>6652.6275614244814</v>
      </c>
      <c r="H52" s="15">
        <f t="shared" ref="H52:Z52" si="10">H51*H41/1000</f>
        <v>5985.2034467284639</v>
      </c>
      <c r="I52" s="15">
        <f t="shared" si="10"/>
        <v>5788.4377334732844</v>
      </c>
      <c r="J52" s="15">
        <f t="shared" si="10"/>
        <v>5527.4420085039892</v>
      </c>
      <c r="K52" s="15">
        <f t="shared" si="10"/>
        <v>9886.0362562833488</v>
      </c>
      <c r="L52" s="15">
        <f t="shared" si="10"/>
        <v>10480.271824044334</v>
      </c>
      <c r="M52" s="15">
        <f t="shared" si="10"/>
        <v>11542.848595334577</v>
      </c>
      <c r="N52" s="15">
        <f t="shared" si="10"/>
        <v>11814.499403488875</v>
      </c>
      <c r="O52" s="15">
        <f t="shared" si="10"/>
        <v>11871.478381259996</v>
      </c>
      <c r="P52" s="15">
        <f t="shared" si="10"/>
        <v>11941.117908341814</v>
      </c>
      <c r="Q52" s="15">
        <f t="shared" si="10"/>
        <v>12618.666661843476</v>
      </c>
      <c r="R52" s="15">
        <f t="shared" si="10"/>
        <v>12809.164481446571</v>
      </c>
      <c r="S52" s="15">
        <f t="shared" si="10"/>
        <v>12940.687528967899</v>
      </c>
      <c r="T52" s="15">
        <f t="shared" si="10"/>
        <v>12990.736019587965</v>
      </c>
      <c r="U52" s="15">
        <f t="shared" si="10"/>
        <v>12919.857195616356</v>
      </c>
      <c r="V52" s="15">
        <f t="shared" si="10"/>
        <v>13124.348479175285</v>
      </c>
      <c r="W52" s="15">
        <f t="shared" si="10"/>
        <v>13945.659665898611</v>
      </c>
      <c r="X52" s="15">
        <f t="shared" si="10"/>
        <v>14000.284327776124</v>
      </c>
      <c r="Y52" s="15">
        <f t="shared" si="10"/>
        <v>13969.30179738138</v>
      </c>
      <c r="Z52" s="15">
        <f t="shared" si="10"/>
        <v>14168.509482411973</v>
      </c>
      <c r="AA52" s="96"/>
      <c r="AB52" s="96"/>
    </row>
    <row r="53" spans="3:28" x14ac:dyDescent="0.2">
      <c r="D53" s="1" t="s">
        <v>247</v>
      </c>
      <c r="F53" s="14" t="s">
        <v>116</v>
      </c>
      <c r="G53" s="15">
        <f>IF(G39=0, 0, G40/G38*1000+G39)</f>
        <v>192.39265915087549</v>
      </c>
      <c r="H53" s="15">
        <f t="shared" ref="H53:Z53" si="11">IF(H39=0, 0, H40/H38*1000+H39)</f>
        <v>156.0114588674686</v>
      </c>
      <c r="I53" s="15">
        <f t="shared" si="11"/>
        <v>138.82308733254231</v>
      </c>
      <c r="J53" s="15">
        <f t="shared" si="11"/>
        <v>132.19782231029345</v>
      </c>
      <c r="K53" s="15">
        <f t="shared" si="11"/>
        <v>132.92327865058297</v>
      </c>
      <c r="L53" s="15">
        <f t="shared" si="11"/>
        <v>128.52114444934028</v>
      </c>
      <c r="M53" s="15">
        <f t="shared" si="11"/>
        <v>122.80113779888534</v>
      </c>
      <c r="N53" s="15">
        <f t="shared" si="11"/>
        <v>121.20005488165319</v>
      </c>
      <c r="O53" s="15">
        <f t="shared" si="11"/>
        <v>120.33512297875146</v>
      </c>
      <c r="P53" s="15">
        <f t="shared" si="11"/>
        <v>119.91951804782326</v>
      </c>
      <c r="Q53" s="15">
        <f t="shared" si="11"/>
        <v>121.10471160514507</v>
      </c>
      <c r="R53" s="15">
        <f t="shared" si="11"/>
        <v>121.71368570715352</v>
      </c>
      <c r="S53" s="15">
        <f t="shared" si="11"/>
        <v>122.3537114581713</v>
      </c>
      <c r="T53" s="15">
        <f t="shared" si="11"/>
        <v>123.18738185088068</v>
      </c>
      <c r="U53" s="15">
        <f t="shared" si="11"/>
        <v>123.99529470746008</v>
      </c>
      <c r="V53" s="15">
        <f t="shared" si="11"/>
        <v>124.64520465529205</v>
      </c>
      <c r="W53" s="15">
        <f t="shared" si="11"/>
        <v>126.22275847092359</v>
      </c>
      <c r="X53" s="15">
        <f t="shared" si="11"/>
        <v>127.1339534219392</v>
      </c>
      <c r="Y53" s="15">
        <f t="shared" si="11"/>
        <v>128.06870586915855</v>
      </c>
      <c r="Z53" s="15">
        <f t="shared" si="11"/>
        <v>129.10819399724338</v>
      </c>
      <c r="AA53" s="96"/>
      <c r="AB53" s="96"/>
    </row>
    <row r="54" spans="3:28" x14ac:dyDescent="0.2">
      <c r="D54" s="1" t="s">
        <v>248</v>
      </c>
      <c r="F54" s="14" t="s">
        <v>117</v>
      </c>
      <c r="G54" s="15">
        <f>G38*G41/1000-G52</f>
        <v>1861.6581528612323</v>
      </c>
      <c r="H54" s="15">
        <f t="shared" ref="H54:Z54" si="12">H38*H41/1000-H52</f>
        <v>7397.4398819955977</v>
      </c>
      <c r="I54" s="15">
        <f t="shared" si="12"/>
        <v>12874.359484521661</v>
      </c>
      <c r="J54" s="15">
        <f t="shared" si="12"/>
        <v>17095.525263663589</v>
      </c>
      <c r="K54" s="15">
        <f t="shared" si="12"/>
        <v>31848.192624104522</v>
      </c>
      <c r="L54" s="15">
        <f t="shared" si="12"/>
        <v>44752.332820481563</v>
      </c>
      <c r="M54" s="15">
        <f t="shared" si="12"/>
        <v>79789.076326777416</v>
      </c>
      <c r="N54" s="15">
        <f t="shared" si="12"/>
        <v>104216.4374387314</v>
      </c>
      <c r="O54" s="15">
        <f t="shared" si="12"/>
        <v>126292.31346326687</v>
      </c>
      <c r="P54" s="15">
        <f t="shared" si="12"/>
        <v>153196.36944479629</v>
      </c>
      <c r="Q54" s="15">
        <f t="shared" si="12"/>
        <v>169559.01909017796</v>
      </c>
      <c r="R54" s="15">
        <f t="shared" si="12"/>
        <v>189284.8758679798</v>
      </c>
      <c r="S54" s="15">
        <f t="shared" si="12"/>
        <v>206402.875635342</v>
      </c>
      <c r="T54" s="15">
        <f t="shared" si="12"/>
        <v>221524.114791289</v>
      </c>
      <c r="U54" s="15">
        <f t="shared" si="12"/>
        <v>237105.61762113884</v>
      </c>
      <c r="V54" s="15">
        <f t="shared" si="12"/>
        <v>265544.76366255619</v>
      </c>
      <c r="W54" s="15">
        <f t="shared" si="12"/>
        <v>281087.91102105385</v>
      </c>
      <c r="X54" s="15">
        <f t="shared" si="12"/>
        <v>305022.6972587065</v>
      </c>
      <c r="Y54" s="15">
        <f t="shared" si="12"/>
        <v>329587.46369869832</v>
      </c>
      <c r="Z54" s="15">
        <f t="shared" si="12"/>
        <v>355672.62794476299</v>
      </c>
      <c r="AA54" s="96"/>
      <c r="AB54" s="96"/>
    </row>
    <row r="55" spans="3:28" x14ac:dyDescent="0.2">
      <c r="D55" s="1" t="s">
        <v>249</v>
      </c>
      <c r="F55" s="14" t="s">
        <v>123</v>
      </c>
      <c r="G55" s="133">
        <f>IF(G38=0,"-",G38/G51-1)</f>
        <v>0.27983802425016702</v>
      </c>
      <c r="H55" s="133">
        <f t="shared" ref="H55:Z55" si="13">IF(H38=0,"-",H38/H51-1)</f>
        <v>1.2359546250744522</v>
      </c>
      <c r="I55" s="133">
        <f t="shared" si="13"/>
        <v>2.224150984655501</v>
      </c>
      <c r="J55" s="133">
        <f t="shared" si="13"/>
        <v>3.0928457028336185</v>
      </c>
      <c r="K55" s="133">
        <f t="shared" si="13"/>
        <v>3.2215330592038356</v>
      </c>
      <c r="L55" s="133">
        <f t="shared" si="13"/>
        <v>4.2701500086866693</v>
      </c>
      <c r="M55" s="133">
        <f t="shared" si="13"/>
        <v>6.9124250974778274</v>
      </c>
      <c r="N55" s="133">
        <f t="shared" si="13"/>
        <v>8.8210624825928576</v>
      </c>
      <c r="O55" s="133">
        <f t="shared" si="13"/>
        <v>10.638297051749561</v>
      </c>
      <c r="P55" s="133">
        <f t="shared" si="13"/>
        <v>12.829315531486085</v>
      </c>
      <c r="Q55" s="133">
        <f t="shared" si="13"/>
        <v>13.43715811139486</v>
      </c>
      <c r="R55" s="133">
        <f t="shared" si="13"/>
        <v>14.777300747613118</v>
      </c>
      <c r="S55" s="133">
        <f t="shared" si="13"/>
        <v>15.949915734639788</v>
      </c>
      <c r="T55" s="133">
        <f t="shared" si="13"/>
        <v>17.05246834800321</v>
      </c>
      <c r="U55" s="133">
        <f t="shared" si="13"/>
        <v>18.352030833714448</v>
      </c>
      <c r="V55" s="133">
        <f t="shared" si="13"/>
        <v>20.232986352343691</v>
      </c>
      <c r="W55" s="133">
        <f t="shared" si="13"/>
        <v>20.155942261261362</v>
      </c>
      <c r="X55" s="133">
        <f t="shared" si="13"/>
        <v>21.786893045704151</v>
      </c>
      <c r="Y55" s="133">
        <f t="shared" si="13"/>
        <v>23.593696269092074</v>
      </c>
      <c r="Z55" s="133">
        <f t="shared" si="13"/>
        <v>25.103037717995377</v>
      </c>
      <c r="AA55" s="96"/>
      <c r="AB55" s="96"/>
    </row>
    <row r="56" spans="3:28" x14ac:dyDescent="0.2">
      <c r="AA56" s="96"/>
      <c r="AB56" s="96"/>
    </row>
    <row r="57" spans="3:28" x14ac:dyDescent="0.2">
      <c r="AA57" s="96"/>
      <c r="AB57" s="96"/>
    </row>
    <row r="58" spans="3:28" x14ac:dyDescent="0.2">
      <c r="AA58" s="96"/>
      <c r="AB58" s="96"/>
    </row>
    <row r="59" spans="3:28" x14ac:dyDescent="0.2">
      <c r="AA59" s="96"/>
      <c r="AB59" s="96"/>
    </row>
    <row r="60" spans="3:28" x14ac:dyDescent="0.2">
      <c r="H60" s="1" t="s">
        <v>73</v>
      </c>
      <c r="AA60" s="96"/>
      <c r="AB60" s="96"/>
    </row>
    <row r="61" spans="3:28" x14ac:dyDescent="0.2">
      <c r="AA61" s="96"/>
      <c r="AB61" s="96"/>
    </row>
    <row r="62" spans="3:28" x14ac:dyDescent="0.2">
      <c r="AA62" s="96"/>
      <c r="AB62" s="96"/>
    </row>
    <row r="63" spans="3:28" x14ac:dyDescent="0.2">
      <c r="AA63" s="96"/>
      <c r="AB63" s="96"/>
    </row>
    <row r="64" spans="3:28" x14ac:dyDescent="0.2">
      <c r="AA64" s="96"/>
      <c r="AB64" s="96"/>
    </row>
    <row r="65" spans="27:28" x14ac:dyDescent="0.2">
      <c r="AA65" s="96"/>
      <c r="AB65" s="96"/>
    </row>
    <row r="66" spans="27:28" x14ac:dyDescent="0.2">
      <c r="AA66" s="96"/>
      <c r="AB66" s="96"/>
    </row>
    <row r="67" spans="27:28" x14ac:dyDescent="0.2">
      <c r="AA67" s="96"/>
      <c r="AB67" s="96"/>
    </row>
    <row r="68" spans="27:28" x14ac:dyDescent="0.2">
      <c r="AA68" s="96"/>
      <c r="AB68" s="96"/>
    </row>
    <row r="69" spans="27:28" x14ac:dyDescent="0.2">
      <c r="AA69" s="96"/>
      <c r="AB69" s="96"/>
    </row>
    <row r="70" spans="27:28" x14ac:dyDescent="0.2">
      <c r="AA70" s="96"/>
      <c r="AB70" s="96"/>
    </row>
    <row r="71" spans="27:28" x14ac:dyDescent="0.2">
      <c r="AA71" s="96"/>
      <c r="AB71" s="96"/>
    </row>
    <row r="72" spans="27:28" x14ac:dyDescent="0.2">
      <c r="AA72" s="96"/>
      <c r="AB72" s="96"/>
    </row>
    <row r="73" spans="27:28" x14ac:dyDescent="0.2">
      <c r="AA73" s="96"/>
      <c r="AB73" s="96"/>
    </row>
    <row r="74" spans="27:28" x14ac:dyDescent="0.2">
      <c r="AA74" s="96"/>
      <c r="AB74" s="96"/>
    </row>
    <row r="75" spans="27:28" x14ac:dyDescent="0.2">
      <c r="AA75" s="96"/>
      <c r="AB75" s="96"/>
    </row>
    <row r="76" spans="27:28" x14ac:dyDescent="0.2">
      <c r="AA76" s="96"/>
      <c r="AB76" s="96"/>
    </row>
    <row r="77" spans="27:28" x14ac:dyDescent="0.2">
      <c r="AA77" s="96"/>
      <c r="AB77" s="96"/>
    </row>
    <row r="78" spans="27:28" x14ac:dyDescent="0.2">
      <c r="AA78" s="96"/>
      <c r="AB78" s="96"/>
    </row>
    <row r="79" spans="27:28" x14ac:dyDescent="0.2">
      <c r="AA79" s="96"/>
      <c r="AB79" s="96"/>
    </row>
    <row r="80" spans="27:28" x14ac:dyDescent="0.2">
      <c r="AA80" s="96"/>
      <c r="AB80" s="96"/>
    </row>
    <row r="81" spans="1:28" x14ac:dyDescent="0.2">
      <c r="AA81" s="96"/>
      <c r="AB81" s="96"/>
    </row>
    <row r="82" spans="1:28" x14ac:dyDescent="0.2">
      <c r="AA82" s="96"/>
      <c r="AB82" s="96"/>
    </row>
    <row r="83" spans="1:28" x14ac:dyDescent="0.2">
      <c r="AA83" s="96"/>
      <c r="AB83" s="96"/>
    </row>
    <row r="84" spans="1:28" x14ac:dyDescent="0.2">
      <c r="AA84" s="96"/>
      <c r="AB84" s="96"/>
    </row>
    <row r="85" spans="1:28" x14ac:dyDescent="0.2">
      <c r="AA85" s="96"/>
      <c r="AB85" s="96"/>
    </row>
    <row r="86" spans="1:28" x14ac:dyDescent="0.2">
      <c r="AA86" s="96"/>
      <c r="AB86" s="96"/>
    </row>
    <row r="87" spans="1:28" x14ac:dyDescent="0.2">
      <c r="F87" s="326">
        <f>Окружение!D4</f>
        <v>2014</v>
      </c>
      <c r="G87" s="326"/>
      <c r="H87" s="327">
        <f>F87+1</f>
        <v>2015</v>
      </c>
      <c r="I87" s="327"/>
      <c r="J87" s="328">
        <f>H87+1</f>
        <v>2016</v>
      </c>
      <c r="K87" s="328"/>
      <c r="L87" s="329">
        <f>J87+1</f>
        <v>2017</v>
      </c>
      <c r="M87" s="329"/>
      <c r="N87" s="325">
        <f>L87+1</f>
        <v>2018</v>
      </c>
      <c r="O87" s="325"/>
      <c r="AA87" s="96"/>
      <c r="AB87" s="96"/>
    </row>
    <row r="88" spans="1:28" x14ac:dyDescent="0.2">
      <c r="A88" s="25" t="s">
        <v>445</v>
      </c>
      <c r="F88" s="14" t="s">
        <v>116</v>
      </c>
      <c r="G88" s="14" t="s">
        <v>123</v>
      </c>
      <c r="H88" s="14" t="s">
        <v>116</v>
      </c>
      <c r="I88" s="14" t="s">
        <v>123</v>
      </c>
      <c r="J88" s="14" t="s">
        <v>116</v>
      </c>
      <c r="K88" s="14" t="s">
        <v>123</v>
      </c>
      <c r="L88" s="14" t="s">
        <v>116</v>
      </c>
      <c r="M88" s="14" t="s">
        <v>123</v>
      </c>
      <c r="N88" s="14" t="s">
        <v>116</v>
      </c>
      <c r="O88" s="14" t="s">
        <v>123</v>
      </c>
      <c r="AA88" s="96"/>
      <c r="AB88" s="96"/>
    </row>
    <row r="89" spans="1:28" x14ac:dyDescent="0.2">
      <c r="B89" s="92" t="s">
        <v>111</v>
      </c>
      <c r="F89" s="2"/>
      <c r="H89" s="2"/>
      <c r="J89" s="2"/>
      <c r="L89" s="2"/>
      <c r="N89" s="2"/>
      <c r="AA89" s="96"/>
      <c r="AB89" s="96"/>
    </row>
    <row r="90" spans="1:28" x14ac:dyDescent="0.2">
      <c r="C90" s="1" t="s">
        <v>175</v>
      </c>
      <c r="F90" s="82">
        <f>Затраты!AA83</f>
        <v>52.400698738952229</v>
      </c>
      <c r="G90" s="133">
        <f t="shared" ref="G90:G97" si="14">IF(F90=0,0,F90/$F$97)</f>
        <v>0.30761238516127143</v>
      </c>
      <c r="H90" s="82">
        <f>Затраты!AB83</f>
        <v>22.577665518607485</v>
      </c>
      <c r="I90" s="133">
        <f t="shared" ref="I90:I97" si="15">IF(H90=0,0,H90/$H$97)</f>
        <v>0.15784399378445449</v>
      </c>
      <c r="J90" s="82">
        <f>Затраты!AC83</f>
        <v>11.091300821784568</v>
      </c>
      <c r="K90" s="133">
        <f t="shared" ref="K90:K97" si="16">IF(J90=0,0,J90/$J$97)</f>
        <v>8.0051157515818663E-2</v>
      </c>
      <c r="L90" s="82">
        <f>Затраты!AD83</f>
        <v>8.4522100921827708</v>
      </c>
      <c r="M90" s="133">
        <f t="shared" ref="M90:M97" si="17">IF(L90=0,0,L90/$L$97)</f>
        <v>5.9403477216759218E-2</v>
      </c>
      <c r="N90" s="82">
        <f>Затраты!AE83</f>
        <v>7.1598390413901614</v>
      </c>
      <c r="O90" s="133">
        <f>IF(N90=0,0,N90/$N$97)</f>
        <v>4.8603974717510462E-2</v>
      </c>
      <c r="AA90" s="96"/>
      <c r="AB90" s="96"/>
    </row>
    <row r="91" spans="1:28" x14ac:dyDescent="0.2">
      <c r="C91" s="1" t="s">
        <v>398</v>
      </c>
      <c r="F91" s="82">
        <f>Затраты!AA84</f>
        <v>109.10450555009369</v>
      </c>
      <c r="G91" s="133">
        <f t="shared" si="14"/>
        <v>0.64048568037809683</v>
      </c>
      <c r="H91" s="82">
        <f>Затраты!AB84</f>
        <v>117.459311179986</v>
      </c>
      <c r="I91" s="133">
        <f t="shared" si="15"/>
        <v>0.82117643068722002</v>
      </c>
      <c r="J91" s="82">
        <f>Затраты!AC84</f>
        <v>125.26310602173285</v>
      </c>
      <c r="K91" s="133">
        <f t="shared" si="16"/>
        <v>0.90408300993616297</v>
      </c>
      <c r="L91" s="82">
        <f>Затраты!AD84</f>
        <v>131.98937520904732</v>
      </c>
      <c r="M91" s="133">
        <f t="shared" si="17"/>
        <v>0.92764232757731846</v>
      </c>
      <c r="N91" s="82">
        <f>Затраты!AE84</f>
        <v>138.58884396949975</v>
      </c>
      <c r="O91" s="133">
        <f t="shared" ref="O91:O97" si="18">IF(N91=0,0,N91/$N$97)</f>
        <v>0.94079889638338932</v>
      </c>
      <c r="AA91" s="96"/>
      <c r="AB91" s="96"/>
    </row>
    <row r="92" spans="1:28" x14ac:dyDescent="0.2">
      <c r="C92" s="1" t="s">
        <v>381</v>
      </c>
      <c r="F92" s="82">
        <f>Затраты!AA85</f>
        <v>2.2433184315368591</v>
      </c>
      <c r="G92" s="133">
        <f t="shared" si="14"/>
        <v>1.3169147549712499E-2</v>
      </c>
      <c r="H92" s="82">
        <f>Затраты!AB85</f>
        <v>0.63089910899969959</v>
      </c>
      <c r="I92" s="133">
        <f t="shared" si="15"/>
        <v>4.4107144273837409E-3</v>
      </c>
      <c r="J92" s="82">
        <f>Затраты!AC85</f>
        <v>0.30425684011308418</v>
      </c>
      <c r="K92" s="133">
        <f t="shared" si="16"/>
        <v>2.1959653447790003E-3</v>
      </c>
      <c r="L92" s="82">
        <f>Затраты!AD85</f>
        <v>0.22903662013007267</v>
      </c>
      <c r="M92" s="133">
        <f t="shared" si="17"/>
        <v>1.6097058044361376E-3</v>
      </c>
      <c r="N92" s="82">
        <f>Затраты!AE85</f>
        <v>0.19401615871238354</v>
      </c>
      <c r="O92" s="133">
        <f t="shared" si="18"/>
        <v>1.3170626348346312E-3</v>
      </c>
      <c r="AA92" s="96"/>
      <c r="AB92" s="96"/>
    </row>
    <row r="93" spans="1:28" x14ac:dyDescent="0.2">
      <c r="C93" s="1" t="s">
        <v>383</v>
      </c>
      <c r="F93" s="82">
        <f>Затраты!AA86</f>
        <v>0</v>
      </c>
      <c r="G93" s="133">
        <f t="shared" si="14"/>
        <v>0</v>
      </c>
      <c r="H93" s="82">
        <f>Затраты!AB86</f>
        <v>0</v>
      </c>
      <c r="I93" s="133">
        <f t="shared" si="15"/>
        <v>0</v>
      </c>
      <c r="J93" s="82">
        <f>Затраты!AC86</f>
        <v>0</v>
      </c>
      <c r="K93" s="133">
        <f t="shared" si="16"/>
        <v>0</v>
      </c>
      <c r="L93" s="82">
        <f>Затраты!AD86</f>
        <v>0</v>
      </c>
      <c r="M93" s="133">
        <f t="shared" si="17"/>
        <v>0</v>
      </c>
      <c r="N93" s="82">
        <f>Затраты!AE86</f>
        <v>0</v>
      </c>
      <c r="O93" s="133">
        <f t="shared" si="18"/>
        <v>0</v>
      </c>
      <c r="AA93" s="96"/>
      <c r="AB93" s="96"/>
    </row>
    <row r="94" spans="1:28" x14ac:dyDescent="0.2">
      <c r="C94" s="1" t="s">
        <v>145</v>
      </c>
      <c r="F94" s="82">
        <f>Затраты!AA87</f>
        <v>6.597995386873114</v>
      </c>
      <c r="G94" s="133">
        <f t="shared" si="14"/>
        <v>3.8732786910919109E-2</v>
      </c>
      <c r="H94" s="82">
        <f>Затраты!AB87</f>
        <v>2.369974270114882</v>
      </c>
      <c r="I94" s="133">
        <f t="shared" si="15"/>
        <v>1.6568861100941797E-2</v>
      </c>
      <c r="J94" s="82">
        <f>Затраты!AC87</f>
        <v>1.8919326387528315</v>
      </c>
      <c r="K94" s="133">
        <f t="shared" si="16"/>
        <v>1.3654971595094932E-2</v>
      </c>
      <c r="L94" s="82">
        <f>Затраты!AD87</f>
        <v>1.5612418574566265</v>
      </c>
      <c r="M94" s="133">
        <f t="shared" si="17"/>
        <v>1.0972656157121712E-2</v>
      </c>
      <c r="N94" s="82">
        <f>Затраты!AE87</f>
        <v>1.3225227818708518</v>
      </c>
      <c r="O94" s="133">
        <f t="shared" si="18"/>
        <v>8.9778364404267171E-3</v>
      </c>
      <c r="AA94" s="96"/>
      <c r="AB94" s="96"/>
    </row>
    <row r="95" spans="1:28" x14ac:dyDescent="0.2">
      <c r="C95" s="1" t="s">
        <v>154</v>
      </c>
      <c r="F95" s="82">
        <f>Затраты!AA88</f>
        <v>0</v>
      </c>
      <c r="G95" s="133">
        <f t="shared" si="14"/>
        <v>0</v>
      </c>
      <c r="H95" s="82">
        <f>Затраты!AB88</f>
        <v>0</v>
      </c>
      <c r="I95" s="133">
        <f t="shared" si="15"/>
        <v>0</v>
      </c>
      <c r="J95" s="82">
        <f>Затраты!AC88</f>
        <v>1.1529754932876834E-3</v>
      </c>
      <c r="K95" s="156">
        <f t="shared" si="16"/>
        <v>8.3215687959494601E-6</v>
      </c>
      <c r="L95" s="82">
        <f>Затраты!AD88</f>
        <v>2.2269266707391058E-2</v>
      </c>
      <c r="M95" s="133">
        <f t="shared" si="17"/>
        <v>1.5651194930778271E-4</v>
      </c>
      <c r="N95" s="82">
        <f>Затраты!AE88</f>
        <v>1.7964934110918422E-2</v>
      </c>
      <c r="O95" s="133">
        <f t="shared" si="18"/>
        <v>1.2195346826669517E-4</v>
      </c>
      <c r="AA95" s="96"/>
      <c r="AB95" s="96"/>
    </row>
    <row r="96" spans="1:28" x14ac:dyDescent="0.2">
      <c r="C96" s="1" t="s">
        <v>184</v>
      </c>
      <c r="F96" s="82">
        <f>Затраты!AA89</f>
        <v>0</v>
      </c>
      <c r="G96" s="133">
        <f t="shared" si="14"/>
        <v>0</v>
      </c>
      <c r="H96" s="82">
        <f>Затраты!AB89</f>
        <v>0</v>
      </c>
      <c r="I96" s="133">
        <f t="shared" si="15"/>
        <v>0</v>
      </c>
      <c r="J96" s="82">
        <f>Затраты!AC89</f>
        <v>9.1085063969727003E-4</v>
      </c>
      <c r="K96" s="156">
        <f t="shared" si="16"/>
        <v>6.5740393488000744E-6</v>
      </c>
      <c r="L96" s="82">
        <f>Затраты!AD89</f>
        <v>3.0636940940313693E-2</v>
      </c>
      <c r="M96" s="133">
        <f t="shared" si="17"/>
        <v>2.1532129505658386E-4</v>
      </c>
      <c r="N96" s="82">
        <f>Затраты!AE89</f>
        <v>2.6556463671287063E-2</v>
      </c>
      <c r="O96" s="133">
        <f t="shared" si="18"/>
        <v>1.8027635557224875E-4</v>
      </c>
      <c r="AA96" s="96"/>
      <c r="AB96" s="96"/>
    </row>
    <row r="97" spans="2:28" s="27" customFormat="1" x14ac:dyDescent="0.2">
      <c r="C97" s="28" t="s">
        <v>173</v>
      </c>
      <c r="D97" s="28"/>
      <c r="E97" s="28"/>
      <c r="F97" s="123">
        <f>Затраты!AA90</f>
        <v>170.34651810745592</v>
      </c>
      <c r="G97" s="134">
        <f t="shared" si="14"/>
        <v>1</v>
      </c>
      <c r="H97" s="123">
        <f>Затраты!AB90</f>
        <v>143.03785007770807</v>
      </c>
      <c r="I97" s="134">
        <f t="shared" si="15"/>
        <v>1</v>
      </c>
      <c r="J97" s="123">
        <f>Затраты!AC90</f>
        <v>138.55266014851628</v>
      </c>
      <c r="K97" s="134">
        <f t="shared" si="16"/>
        <v>1</v>
      </c>
      <c r="L97" s="123">
        <f>Затраты!AD90</f>
        <v>142.28476998646451</v>
      </c>
      <c r="M97" s="134">
        <f t="shared" si="17"/>
        <v>1</v>
      </c>
      <c r="N97" s="123">
        <f>Затраты!AE90</f>
        <v>147.30974334925534</v>
      </c>
      <c r="O97" s="134">
        <f t="shared" si="18"/>
        <v>1</v>
      </c>
      <c r="AA97" s="129"/>
      <c r="AB97" s="129"/>
    </row>
    <row r="98" spans="2:28" x14ac:dyDescent="0.2">
      <c r="B98" s="92" t="s">
        <v>112</v>
      </c>
      <c r="F98" s="157"/>
      <c r="H98" s="157"/>
      <c r="J98" s="157"/>
      <c r="L98" s="157"/>
      <c r="N98" s="157"/>
      <c r="AA98" s="96"/>
      <c r="AB98" s="96"/>
    </row>
    <row r="99" spans="2:28" x14ac:dyDescent="0.2">
      <c r="C99" s="1" t="s">
        <v>175</v>
      </c>
      <c r="F99" s="82">
        <f>Затраты!AA92</f>
        <v>52.400698738952229</v>
      </c>
      <c r="G99" s="133">
        <f t="shared" ref="G99:G106" si="19">IF(F99=0,0,F99/$F$106)</f>
        <v>0.33838283181295642</v>
      </c>
      <c r="H99" s="82">
        <f>Затраты!AB92</f>
        <v>22.577665518607485</v>
      </c>
      <c r="I99" s="133">
        <f t="shared" ref="I99:I106" si="20">IF(H99=0,0,H99/$H$106)</f>
        <v>0.17867532975823855</v>
      </c>
      <c r="J99" s="82">
        <f>Затраты!AC92</f>
        <v>11.09130082178457</v>
      </c>
      <c r="K99" s="133">
        <f t="shared" ref="K99:K106" si="21">IF(J99=0,0,J99/$J$106)</f>
        <v>9.1839535155378113E-2</v>
      </c>
      <c r="L99" s="82">
        <f>Затраты!AD92</f>
        <v>8.4522100921827708</v>
      </c>
      <c r="M99" s="133">
        <f t="shared" ref="M99:M106" si="22">IF(L99=0,0,L99/$L$106)</f>
        <v>6.8413799441502485E-2</v>
      </c>
      <c r="N99" s="82">
        <f>Затраты!AE92</f>
        <v>7.1598390413901605</v>
      </c>
      <c r="O99" s="133">
        <f>IF(N99=0,0,N99/$N$106)</f>
        <v>5.6096906268073773E-2</v>
      </c>
      <c r="AA99" s="96"/>
      <c r="AB99" s="96"/>
    </row>
    <row r="100" spans="2:28" x14ac:dyDescent="0.2">
      <c r="C100" s="1" t="s">
        <v>398</v>
      </c>
      <c r="F100" s="82">
        <f>Затраты!AA93</f>
        <v>93.614244357932762</v>
      </c>
      <c r="G100" s="133">
        <f t="shared" si="19"/>
        <v>0.6045234866366358</v>
      </c>
      <c r="H100" s="82">
        <f>Затраты!AB93</f>
        <v>100.78286504739337</v>
      </c>
      <c r="I100" s="133">
        <f t="shared" si="20"/>
        <v>0.79757633186133325</v>
      </c>
      <c r="J100" s="82">
        <f>Затраты!AC93</f>
        <v>107.47870545793486</v>
      </c>
      <c r="K100" s="133">
        <f t="shared" si="21"/>
        <v>0.88995822103852618</v>
      </c>
      <c r="L100" s="82">
        <f>Затраты!AD93</f>
        <v>113.25000339053386</v>
      </c>
      <c r="M100" s="133">
        <f t="shared" si="22"/>
        <v>0.91666711241303112</v>
      </c>
      <c r="N100" s="82">
        <f>Затраты!AE93</f>
        <v>118.91250356006059</v>
      </c>
      <c r="O100" s="133">
        <f t="shared" ref="O100:O106" si="23">IF(N100=0,0,N100/$N$106)</f>
        <v>0.93167228030527538</v>
      </c>
      <c r="AA100" s="96"/>
      <c r="AB100" s="96"/>
    </row>
    <row r="101" spans="2:28" x14ac:dyDescent="0.2">
      <c r="C101" s="1" t="s">
        <v>381</v>
      </c>
      <c r="F101" s="82">
        <f>Затраты!AA94</f>
        <v>2.2433184315368586</v>
      </c>
      <c r="G101" s="133">
        <f t="shared" si="19"/>
        <v>1.4486456512790014E-2</v>
      </c>
      <c r="H101" s="82">
        <f>Затраты!AB94</f>
        <v>0.6308991089996997</v>
      </c>
      <c r="I101" s="133">
        <f t="shared" si="20"/>
        <v>4.9928149680398305E-3</v>
      </c>
      <c r="J101" s="82">
        <f>Затраты!AC94</f>
        <v>0.30425684011308418</v>
      </c>
      <c r="K101" s="133">
        <f t="shared" si="21"/>
        <v>2.5193444135017075E-3</v>
      </c>
      <c r="L101" s="82">
        <f>Затраты!AD94</f>
        <v>0.2290366201300727</v>
      </c>
      <c r="M101" s="133">
        <f t="shared" si="22"/>
        <v>1.8538660567406482E-3</v>
      </c>
      <c r="N101" s="82">
        <f>Затраты!AE94</f>
        <v>0.19401615871238354</v>
      </c>
      <c r="O101" s="133">
        <f t="shared" si="23"/>
        <v>1.5201048804118248E-3</v>
      </c>
      <c r="AA101" s="96"/>
      <c r="AB101" s="129"/>
    </row>
    <row r="102" spans="2:28" x14ac:dyDescent="0.2">
      <c r="C102" s="1" t="s">
        <v>383</v>
      </c>
      <c r="F102" s="82">
        <f>Затраты!AA95</f>
        <v>0</v>
      </c>
      <c r="G102" s="133">
        <f t="shared" si="19"/>
        <v>0</v>
      </c>
      <c r="H102" s="82">
        <f>Затраты!AB95</f>
        <v>0</v>
      </c>
      <c r="I102" s="133">
        <f t="shared" si="20"/>
        <v>0</v>
      </c>
      <c r="J102" s="82">
        <f>Затраты!AC95</f>
        <v>0</v>
      </c>
      <c r="K102" s="133">
        <f t="shared" si="21"/>
        <v>0</v>
      </c>
      <c r="L102" s="82">
        <f>Затраты!AD95</f>
        <v>0</v>
      </c>
      <c r="M102" s="133">
        <f t="shared" si="22"/>
        <v>0</v>
      </c>
      <c r="N102" s="82">
        <f>Затраты!AE95</f>
        <v>0</v>
      </c>
      <c r="O102" s="133">
        <f t="shared" si="23"/>
        <v>0</v>
      </c>
      <c r="AA102" s="96"/>
      <c r="AB102" s="102"/>
    </row>
    <row r="103" spans="2:28" x14ac:dyDescent="0.2">
      <c r="C103" s="1" t="s">
        <v>145</v>
      </c>
      <c r="F103" s="82">
        <f>Затраты!AA96</f>
        <v>6.597995386873114</v>
      </c>
      <c r="G103" s="133">
        <f t="shared" si="19"/>
        <v>4.2607225037617692E-2</v>
      </c>
      <c r="H103" s="82">
        <f>Затраты!AB96</f>
        <v>2.3699742701148825</v>
      </c>
      <c r="I103" s="133">
        <f t="shared" si="20"/>
        <v>1.8755523412388415E-2</v>
      </c>
      <c r="J103" s="82">
        <f>Затраты!AC96</f>
        <v>1.8919326387528312</v>
      </c>
      <c r="K103" s="133">
        <f t="shared" si="21"/>
        <v>1.5665810248972328E-2</v>
      </c>
      <c r="L103" s="82">
        <f>Затраты!AD96</f>
        <v>1.5612418574566265</v>
      </c>
      <c r="M103" s="133">
        <f t="shared" si="22"/>
        <v>1.2636989160326564E-2</v>
      </c>
      <c r="N103" s="82">
        <f>Затраты!AE96</f>
        <v>1.3225227818708518</v>
      </c>
      <c r="O103" s="133">
        <f t="shared" si="23"/>
        <v>1.0361886084745931E-2</v>
      </c>
      <c r="AA103" s="96"/>
      <c r="AB103" s="96"/>
    </row>
    <row r="104" spans="2:28" x14ac:dyDescent="0.2">
      <c r="C104" s="1" t="s">
        <v>154</v>
      </c>
      <c r="F104" s="82">
        <f>Затраты!AA97</f>
        <v>0</v>
      </c>
      <c r="G104" s="133">
        <f t="shared" si="19"/>
        <v>0</v>
      </c>
      <c r="H104" s="82">
        <f>Затраты!AB97</f>
        <v>0</v>
      </c>
      <c r="I104" s="133">
        <f t="shared" si="20"/>
        <v>0</v>
      </c>
      <c r="J104" s="82">
        <f>Затраты!AC97</f>
        <v>1.1529754932876834E-3</v>
      </c>
      <c r="K104" s="133">
        <f t="shared" si="21"/>
        <v>9.5470076098834302E-6</v>
      </c>
      <c r="L104" s="82">
        <f>Затраты!AD97</f>
        <v>2.2269266707391058E-2</v>
      </c>
      <c r="M104" s="133">
        <f t="shared" si="22"/>
        <v>1.8025168915735413E-4</v>
      </c>
      <c r="N104" s="82">
        <f>Затраты!AE97</f>
        <v>1.7964934110918426E-2</v>
      </c>
      <c r="O104" s="133">
        <f t="shared" si="23"/>
        <v>1.4075417325815209E-4</v>
      </c>
      <c r="AA104" s="96"/>
      <c r="AB104" s="130"/>
    </row>
    <row r="105" spans="2:28" x14ac:dyDescent="0.2">
      <c r="C105" s="1" t="s">
        <v>184</v>
      </c>
      <c r="F105" s="82">
        <f>Затраты!AA98</f>
        <v>0</v>
      </c>
      <c r="G105" s="133">
        <f t="shared" si="19"/>
        <v>0</v>
      </c>
      <c r="H105" s="82">
        <f>Затраты!AB98</f>
        <v>0</v>
      </c>
      <c r="I105" s="133">
        <f t="shared" si="20"/>
        <v>0</v>
      </c>
      <c r="J105" s="82">
        <f>Затраты!AC98</f>
        <v>9.1085063969726992E-4</v>
      </c>
      <c r="K105" s="133">
        <f t="shared" si="21"/>
        <v>7.5421360118079098E-6</v>
      </c>
      <c r="L105" s="82">
        <f>Затраты!AD98</f>
        <v>3.0636940940313693E-2</v>
      </c>
      <c r="M105" s="133">
        <f t="shared" si="22"/>
        <v>2.4798123924182902E-4</v>
      </c>
      <c r="N105" s="82">
        <f>Затраты!AE98</f>
        <v>2.6556463671287063E-2</v>
      </c>
      <c r="O105" s="133">
        <f t="shared" si="23"/>
        <v>2.0806828823493334E-4</v>
      </c>
      <c r="AA105" s="96"/>
    </row>
    <row r="106" spans="2:28" x14ac:dyDescent="0.2">
      <c r="B106" s="27"/>
      <c r="C106" s="28" t="s">
        <v>174</v>
      </c>
      <c r="D106" s="28"/>
      <c r="F106" s="123">
        <f>Затраты!AA99</f>
        <v>154.85625691529498</v>
      </c>
      <c r="G106" s="134">
        <f t="shared" si="19"/>
        <v>1</v>
      </c>
      <c r="H106" s="123">
        <f>Затраты!AB99</f>
        <v>126.36140394511544</v>
      </c>
      <c r="I106" s="134">
        <f t="shared" si="20"/>
        <v>1</v>
      </c>
      <c r="J106" s="123">
        <f>Затраты!AC99</f>
        <v>120.76825958471834</v>
      </c>
      <c r="K106" s="134">
        <f t="shared" si="21"/>
        <v>1</v>
      </c>
      <c r="L106" s="123">
        <f>Затраты!AD99</f>
        <v>123.54539816795103</v>
      </c>
      <c r="M106" s="134">
        <f t="shared" si="22"/>
        <v>1</v>
      </c>
      <c r="N106" s="123">
        <f>Затраты!AE99</f>
        <v>127.63340293981619</v>
      </c>
      <c r="O106" s="134">
        <f t="shared" si="23"/>
        <v>1</v>
      </c>
      <c r="AA106" s="96"/>
    </row>
    <row r="108" spans="2:28" x14ac:dyDescent="0.2">
      <c r="F108" s="213"/>
      <c r="G108" s="213"/>
      <c r="H108" s="213"/>
      <c r="I108" s="213"/>
      <c r="J108" s="213"/>
    </row>
  </sheetData>
  <mergeCells count="5">
    <mergeCell ref="N87:O87"/>
    <mergeCell ref="F87:G87"/>
    <mergeCell ref="H87:I87"/>
    <mergeCell ref="J87:K87"/>
    <mergeCell ref="L87:M87"/>
  </mergeCells>
  <phoneticPr fontId="0" type="noConversion"/>
  <hyperlinks>
    <hyperlink ref="E1" r:id="rId1"/>
  </hyperlinks>
  <pageMargins left="0.75" right="0.75" top="1" bottom="1" header="0.5" footer="0.5"/>
  <pageSetup paperSize="9" orientation="portrait" verticalDpi="1200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9"/>
  <sheetViews>
    <sheetView zoomScale="85" zoomScaleNormal="85" workbookViewId="0"/>
  </sheetViews>
  <sheetFormatPr defaultRowHeight="12.75" x14ac:dyDescent="0.2"/>
  <cols>
    <col min="1" max="1" width="41.140625" style="162" customWidth="1"/>
    <col min="2" max="2" width="11.85546875" style="162" customWidth="1"/>
    <col min="3" max="3" width="10.42578125" style="158" bestFit="1" customWidth="1"/>
    <col min="4" max="6" width="11.7109375" style="158" bestFit="1" customWidth="1"/>
    <col min="7" max="7" width="12.28515625" style="158" bestFit="1" customWidth="1"/>
    <col min="8" max="16384" width="9.140625" style="158"/>
  </cols>
  <sheetData>
    <row r="1" spans="1:8" ht="18" x14ac:dyDescent="0.25">
      <c r="A1" s="319" t="s">
        <v>573</v>
      </c>
    </row>
    <row r="2" spans="1:8" x14ac:dyDescent="0.2">
      <c r="A2" s="11" t="s">
        <v>455</v>
      </c>
      <c r="B2" s="174" t="s">
        <v>108</v>
      </c>
      <c r="C2" s="3">
        <f>Окружение!D4</f>
        <v>2014</v>
      </c>
      <c r="D2" s="4">
        <f>C2+1</f>
        <v>2015</v>
      </c>
      <c r="E2" s="5">
        <f>D2+1</f>
        <v>2016</v>
      </c>
      <c r="F2" s="6">
        <f>E2+1</f>
        <v>2017</v>
      </c>
      <c r="G2" s="7">
        <f>F2+1</f>
        <v>2018</v>
      </c>
    </row>
    <row r="3" spans="1:8" s="159" customFormat="1" x14ac:dyDescent="0.2">
      <c r="A3" s="165"/>
      <c r="B3" s="165"/>
    </row>
    <row r="4" spans="1:8" x14ac:dyDescent="0.2">
      <c r="A4" s="185" t="s">
        <v>214</v>
      </c>
      <c r="B4" s="135"/>
      <c r="C4" s="62"/>
      <c r="D4" s="62"/>
      <c r="E4" s="62"/>
      <c r="F4" s="63"/>
      <c r="G4" s="62"/>
      <c r="H4" s="170"/>
    </row>
    <row r="5" spans="1:8" x14ac:dyDescent="0.2">
      <c r="A5" s="25" t="s">
        <v>435</v>
      </c>
      <c r="B5" s="25"/>
    </row>
    <row r="6" spans="1:8" x14ac:dyDescent="0.2">
      <c r="A6" s="207" t="s">
        <v>316</v>
      </c>
      <c r="B6" s="80" t="s">
        <v>117</v>
      </c>
      <c r="C6" s="180">
        <f>'НА и ОС'!J44</f>
        <v>17.056818181818183</v>
      </c>
      <c r="D6" s="180">
        <f>'НА и ОС'!N44</f>
        <v>16.84090909090909</v>
      </c>
      <c r="E6" s="180">
        <f>'НА и ОС'!R44</f>
        <v>16.625</v>
      </c>
      <c r="F6" s="180">
        <f>'НА и ОС'!V44</f>
        <v>16.40909090909091</v>
      </c>
      <c r="G6" s="180">
        <f>'НА и ОС'!Z44</f>
        <v>16.19318181818182</v>
      </c>
    </row>
    <row r="7" spans="1:8" x14ac:dyDescent="0.2">
      <c r="A7" s="207" t="s">
        <v>315</v>
      </c>
      <c r="B7" s="80" t="s">
        <v>117</v>
      </c>
      <c r="C7" s="180">
        <f>'НА и ОС'!J118</f>
        <v>0</v>
      </c>
      <c r="D7" s="180">
        <f>'НА и ОС'!N118</f>
        <v>0</v>
      </c>
      <c r="E7" s="180">
        <f>'НА и ОС'!R118</f>
        <v>282.78409090909088</v>
      </c>
      <c r="F7" s="180">
        <f>'НА и ОС'!V118</f>
        <v>1563.9204545454543</v>
      </c>
      <c r="G7" s="180">
        <f>'НА и ОС'!Z118</f>
        <v>1481.4204545454543</v>
      </c>
    </row>
    <row r="8" spans="1:8" x14ac:dyDescent="0.2">
      <c r="A8" s="207" t="s">
        <v>219</v>
      </c>
      <c r="B8" s="80" t="s">
        <v>117</v>
      </c>
      <c r="C8" s="180">
        <f>'Форма 1'!I9</f>
        <v>437.31818181818181</v>
      </c>
      <c r="D8" s="180">
        <f>'Форма 1'!M9</f>
        <v>1124.590909090909</v>
      </c>
      <c r="E8" s="180">
        <f>'Форма 1'!Q9</f>
        <v>1227.272727272727</v>
      </c>
      <c r="F8" s="180">
        <f>'Форма 1'!U9</f>
        <v>0</v>
      </c>
      <c r="G8" s="180">
        <f>'Форма 1'!Y9</f>
        <v>0</v>
      </c>
    </row>
    <row r="9" spans="1:8" x14ac:dyDescent="0.2">
      <c r="A9" s="171" t="s">
        <v>436</v>
      </c>
      <c r="B9" s="80" t="s">
        <v>117</v>
      </c>
      <c r="C9" s="182">
        <f>C6+C7+C8</f>
        <v>454.375</v>
      </c>
      <c r="D9" s="182">
        <f>D6+D7+D8</f>
        <v>1141.431818181818</v>
      </c>
      <c r="E9" s="182">
        <f>E6+E7+E8</f>
        <v>1526.681818181818</v>
      </c>
      <c r="F9" s="182">
        <f>F6+F7+F8</f>
        <v>1580.3295454545453</v>
      </c>
      <c r="G9" s="182">
        <f>G6+G7+G8</f>
        <v>1497.613636363636</v>
      </c>
    </row>
    <row r="10" spans="1:8" x14ac:dyDescent="0.2">
      <c r="A10" s="169"/>
      <c r="B10" s="169"/>
      <c r="C10" s="183"/>
      <c r="D10" s="183"/>
      <c r="E10" s="183"/>
      <c r="F10" s="183"/>
      <c r="G10" s="183"/>
    </row>
    <row r="11" spans="1:8" x14ac:dyDescent="0.2">
      <c r="A11" s="25" t="s">
        <v>220</v>
      </c>
      <c r="B11" s="158"/>
      <c r="C11" s="183"/>
      <c r="D11" s="183"/>
      <c r="E11" s="183"/>
      <c r="F11" s="183"/>
      <c r="G11" s="183"/>
    </row>
    <row r="12" spans="1:8" x14ac:dyDescent="0.2">
      <c r="A12" s="207" t="s">
        <v>437</v>
      </c>
      <c r="B12" s="80" t="s">
        <v>117</v>
      </c>
      <c r="C12" s="180">
        <f>'Оборот. К.'!G10</f>
        <v>5277.6917179079646</v>
      </c>
      <c r="D12" s="180">
        <f>'Оборот. К.'!K10</f>
        <v>28022.057487283168</v>
      </c>
      <c r="E12" s="180">
        <f>'Оборот. К.'!O10</f>
        <v>46090.441101323675</v>
      </c>
      <c r="F12" s="180">
        <f>'Оборот. К.'!S10</f>
        <v>63206.360173898531</v>
      </c>
      <c r="G12" s="180">
        <f>'Оборот. К.'!W10</f>
        <v>80331.526513282297</v>
      </c>
    </row>
    <row r="13" spans="1:8" x14ac:dyDescent="0.2">
      <c r="A13" s="208" t="s">
        <v>330</v>
      </c>
      <c r="B13" s="80" t="s">
        <v>117</v>
      </c>
      <c r="C13" s="180">
        <f>'Оборот. К.'!G11</f>
        <v>0</v>
      </c>
      <c r="D13" s="180">
        <f>'Оборот. К.'!K11</f>
        <v>23888.722291045353</v>
      </c>
      <c r="E13" s="180">
        <f>'Оборот. К.'!O11</f>
        <v>106382.73693214882</v>
      </c>
      <c r="F13" s="180">
        <f>'Оборот. К.'!S11</f>
        <v>194093.47974251452</v>
      </c>
      <c r="G13" s="180">
        <f>'Оборот. К.'!W11</f>
        <v>225201.6127971368</v>
      </c>
    </row>
    <row r="14" spans="1:8" x14ac:dyDescent="0.2">
      <c r="A14" s="207" t="s">
        <v>329</v>
      </c>
      <c r="B14" s="80" t="s">
        <v>117</v>
      </c>
      <c r="C14" s="180">
        <f>'Оборот. К.'!G12</f>
        <v>9572.9428784408483</v>
      </c>
      <c r="D14" s="180">
        <f>'Оборот. К.'!K12</f>
        <v>26709.758491189743</v>
      </c>
      <c r="E14" s="180">
        <f>'Оборот. К.'!O12</f>
        <v>19515.042771417266</v>
      </c>
      <c r="F14" s="180">
        <f>'Оборот. К.'!S12</f>
        <v>26355.035376928401</v>
      </c>
      <c r="G14" s="180">
        <f>'Оборот. К.'!W12</f>
        <v>33243.245843341443</v>
      </c>
    </row>
    <row r="15" spans="1:8" x14ac:dyDescent="0.2">
      <c r="A15" s="207" t="s">
        <v>314</v>
      </c>
      <c r="B15" s="80" t="s">
        <v>117</v>
      </c>
      <c r="C15" s="180">
        <f>'Форма 1'!I13</f>
        <v>0</v>
      </c>
      <c r="D15" s="180">
        <f>'Форма 1'!M13</f>
        <v>0</v>
      </c>
      <c r="E15" s="180">
        <f>'Форма 1'!Q13</f>
        <v>0</v>
      </c>
      <c r="F15" s="180">
        <f>'Форма 1'!U13</f>
        <v>0</v>
      </c>
      <c r="G15" s="180">
        <f>'Форма 1'!Y13</f>
        <v>0</v>
      </c>
    </row>
    <row r="16" spans="1:8" x14ac:dyDescent="0.2">
      <c r="A16" s="207" t="s">
        <v>313</v>
      </c>
      <c r="B16" s="80" t="s">
        <v>117</v>
      </c>
      <c r="C16" s="180">
        <f>'Форма 1'!I14</f>
        <v>45279.362680988655</v>
      </c>
      <c r="D16" s="180">
        <f>'Форма 1'!M14</f>
        <v>64521.398736536707</v>
      </c>
      <c r="E16" s="180">
        <f>'Форма 1'!Q14</f>
        <v>188936.79960350483</v>
      </c>
      <c r="F16" s="180">
        <f>'Форма 1'!U14</f>
        <v>454630.46477507707</v>
      </c>
      <c r="G16" s="180">
        <f>'Форма 1'!Y14</f>
        <v>806904.69746654422</v>
      </c>
    </row>
    <row r="17" spans="1:7" x14ac:dyDescent="0.2">
      <c r="A17" s="171" t="s">
        <v>438</v>
      </c>
      <c r="B17" s="80" t="s">
        <v>117</v>
      </c>
      <c r="C17" s="182">
        <f>C12+C13+C14+C15+C16</f>
        <v>60129.997277337468</v>
      </c>
      <c r="D17" s="182">
        <f>D12+D13+D14+D15+D16</f>
        <v>143141.93700605497</v>
      </c>
      <c r="E17" s="182">
        <f>E12+E13+E14+E15+E16</f>
        <v>360925.02040839463</v>
      </c>
      <c r="F17" s="182">
        <f>F12+F13+F14+F15+F16</f>
        <v>738285.34006841853</v>
      </c>
      <c r="G17" s="182">
        <f>G12+G13+G14+G15+G16</f>
        <v>1145681.0826203048</v>
      </c>
    </row>
    <row r="18" spans="1:7" x14ac:dyDescent="0.2">
      <c r="A18" s="168"/>
      <c r="B18" s="168"/>
      <c r="C18" s="184"/>
      <c r="D18" s="184"/>
      <c r="E18" s="184"/>
      <c r="F18" s="184"/>
      <c r="G18" s="184"/>
    </row>
    <row r="19" spans="1:7" x14ac:dyDescent="0.2">
      <c r="A19" s="160" t="s">
        <v>443</v>
      </c>
      <c r="B19" s="80" t="s">
        <v>117</v>
      </c>
      <c r="C19" s="182">
        <f>C17+C9</f>
        <v>60584.372277337468</v>
      </c>
      <c r="D19" s="182">
        <f>D17+D9</f>
        <v>144283.36882423679</v>
      </c>
      <c r="E19" s="182">
        <f>E17+E9</f>
        <v>362451.70222657645</v>
      </c>
      <c r="F19" s="182">
        <f>F17+F9</f>
        <v>739865.66961387312</v>
      </c>
      <c r="G19" s="182">
        <f>G17+G9</f>
        <v>1147178.6962566683</v>
      </c>
    </row>
    <row r="20" spans="1:7" x14ac:dyDescent="0.2">
      <c r="A20" s="158"/>
      <c r="B20" s="158"/>
      <c r="C20" s="164" t="b">
        <f>C19='Форма 1'!I17</f>
        <v>1</v>
      </c>
      <c r="D20" s="164" t="b">
        <f>D19='Форма 1'!M17</f>
        <v>1</v>
      </c>
      <c r="E20" s="164" t="b">
        <f>E19='Форма 1'!Q17</f>
        <v>1</v>
      </c>
      <c r="F20" s="164" t="b">
        <f>F19='Форма 1'!U17</f>
        <v>1</v>
      </c>
      <c r="G20" s="164" t="b">
        <f>G19='Форма 1'!Y17</f>
        <v>1</v>
      </c>
    </row>
    <row r="21" spans="1:7" x14ac:dyDescent="0.2">
      <c r="A21" s="158"/>
      <c r="B21" s="158"/>
    </row>
    <row r="22" spans="1:7" x14ac:dyDescent="0.2">
      <c r="A22" s="185" t="s">
        <v>222</v>
      </c>
      <c r="B22" s="135"/>
      <c r="C22" s="62"/>
      <c r="D22" s="62"/>
      <c r="E22" s="62"/>
      <c r="F22" s="63"/>
      <c r="G22" s="62"/>
    </row>
    <row r="23" spans="1:7" x14ac:dyDescent="0.2">
      <c r="A23" s="25" t="s">
        <v>200</v>
      </c>
      <c r="B23" s="158"/>
    </row>
    <row r="24" spans="1:7" x14ac:dyDescent="0.2">
      <c r="A24" s="209" t="s">
        <v>318</v>
      </c>
      <c r="B24" s="80" t="s">
        <v>117</v>
      </c>
      <c r="C24" s="172">
        <f>'Форма 1'!I21</f>
        <v>170</v>
      </c>
      <c r="D24" s="172">
        <f>'Форма 1'!M21</f>
        <v>170</v>
      </c>
      <c r="E24" s="172">
        <f>'Форма 1'!Q21</f>
        <v>220</v>
      </c>
      <c r="F24" s="172">
        <f>'Форма 1'!U21</f>
        <v>270</v>
      </c>
      <c r="G24" s="172">
        <f>'Форма 1'!Y21</f>
        <v>270</v>
      </c>
    </row>
    <row r="25" spans="1:7" x14ac:dyDescent="0.2">
      <c r="A25" s="209" t="s">
        <v>191</v>
      </c>
      <c r="B25" s="80" t="s">
        <v>117</v>
      </c>
      <c r="C25" s="172">
        <f>'Форма 1'!I24</f>
        <v>1000</v>
      </c>
      <c r="D25" s="172">
        <f>'Форма 1'!M24</f>
        <v>2000</v>
      </c>
      <c r="E25" s="172">
        <f>'Форма 1'!Q24</f>
        <v>2000</v>
      </c>
      <c r="F25" s="172">
        <f>'Форма 1'!U24</f>
        <v>2000</v>
      </c>
      <c r="G25" s="172">
        <f>'Форма 1'!Y24</f>
        <v>2000</v>
      </c>
    </row>
    <row r="26" spans="1:7" x14ac:dyDescent="0.2">
      <c r="A26" s="209" t="s">
        <v>76</v>
      </c>
      <c r="B26" s="80" t="s">
        <v>117</v>
      </c>
      <c r="C26" s="172">
        <f>'Форма 1'!I25</f>
        <v>37539.372277337476</v>
      </c>
      <c r="D26" s="172">
        <f>'Форма 1'!M25</f>
        <v>142113.41362735996</v>
      </c>
      <c r="E26" s="172">
        <f>'Форма 1'!Q25</f>
        <v>360666.34913957136</v>
      </c>
      <c r="F26" s="172">
        <f>'Форма 1'!U25</f>
        <v>769241.1040196612</v>
      </c>
      <c r="G26" s="172">
        <f>'Форма 1'!Y25</f>
        <v>1184356.8415366306</v>
      </c>
    </row>
    <row r="27" spans="1:7" s="161" customFormat="1" x14ac:dyDescent="0.2">
      <c r="A27" s="161" t="s">
        <v>239</v>
      </c>
      <c r="B27" s="80" t="s">
        <v>117</v>
      </c>
      <c r="C27" s="173">
        <f>C24+C25+C26</f>
        <v>38709.372277337476</v>
      </c>
      <c r="D27" s="173">
        <f>D24+D25+D26</f>
        <v>144283.41362735996</v>
      </c>
      <c r="E27" s="173">
        <f>E24+E25+E26</f>
        <v>362886.34913957136</v>
      </c>
      <c r="F27" s="173">
        <f>F24+F25+F26</f>
        <v>771511.1040196612</v>
      </c>
      <c r="G27" s="173">
        <f>G24+G25+G26</f>
        <v>1186626.8415366306</v>
      </c>
    </row>
    <row r="28" spans="1:7" x14ac:dyDescent="0.2">
      <c r="A28" s="158"/>
      <c r="B28" s="158"/>
    </row>
    <row r="29" spans="1:7" x14ac:dyDescent="0.2">
      <c r="A29" s="25" t="s">
        <v>440</v>
      </c>
      <c r="B29" s="158"/>
    </row>
    <row r="30" spans="1:7" x14ac:dyDescent="0.2">
      <c r="A30" s="209" t="s">
        <v>338</v>
      </c>
      <c r="B30" s="80" t="s">
        <v>117</v>
      </c>
      <c r="C30" s="172">
        <f>'Форма 1'!I29</f>
        <v>17500</v>
      </c>
      <c r="D30" s="172">
        <f>'Форма 1'!M29</f>
        <v>0</v>
      </c>
      <c r="E30" s="172">
        <f>'Форма 1'!Q29</f>
        <v>0</v>
      </c>
      <c r="F30" s="172">
        <f>'Форма 1'!U29</f>
        <v>0</v>
      </c>
      <c r="G30" s="172">
        <f>'Форма 1'!Y29</f>
        <v>0</v>
      </c>
    </row>
    <row r="31" spans="1:7" s="161" customFormat="1" x14ac:dyDescent="0.2">
      <c r="A31" s="161" t="s">
        <v>441</v>
      </c>
      <c r="B31" s="80" t="s">
        <v>117</v>
      </c>
      <c r="C31" s="173">
        <f>C30</f>
        <v>17500</v>
      </c>
      <c r="D31" s="173">
        <f>D30</f>
        <v>0</v>
      </c>
      <c r="E31" s="173">
        <f>E30</f>
        <v>0</v>
      </c>
      <c r="F31" s="173">
        <f>F30</f>
        <v>0</v>
      </c>
      <c r="G31" s="173">
        <f>G30</f>
        <v>0</v>
      </c>
    </row>
    <row r="32" spans="1:7" x14ac:dyDescent="0.2">
      <c r="A32" s="186"/>
      <c r="B32" s="80"/>
      <c r="C32" s="187"/>
      <c r="D32" s="187"/>
      <c r="E32" s="187"/>
      <c r="F32" s="187"/>
      <c r="G32" s="187"/>
    </row>
    <row r="33" spans="1:8" x14ac:dyDescent="0.2">
      <c r="A33" s="25" t="s">
        <v>442</v>
      </c>
      <c r="B33" s="80"/>
      <c r="C33" s="187"/>
      <c r="D33" s="187"/>
      <c r="E33" s="187"/>
      <c r="F33" s="187"/>
      <c r="G33" s="187"/>
    </row>
    <row r="34" spans="1:8" x14ac:dyDescent="0.2">
      <c r="A34" s="209" t="s">
        <v>333</v>
      </c>
      <c r="B34" s="80" t="s">
        <v>117</v>
      </c>
      <c r="C34" s="172">
        <f>'Форма 1'!I32</f>
        <v>0</v>
      </c>
      <c r="D34" s="172">
        <f>'Форма 1'!M32</f>
        <v>0</v>
      </c>
      <c r="E34" s="172">
        <f>'Форма 1'!Q32</f>
        <v>0</v>
      </c>
      <c r="F34" s="172">
        <f>'Форма 1'!U32</f>
        <v>0</v>
      </c>
      <c r="G34" s="172">
        <f>'Форма 1'!Y32</f>
        <v>0</v>
      </c>
    </row>
    <row r="35" spans="1:8" x14ac:dyDescent="0.2">
      <c r="A35" s="207" t="s">
        <v>317</v>
      </c>
      <c r="B35" s="80" t="s">
        <v>117</v>
      </c>
      <c r="C35" s="172">
        <f>'Оборот. К.'!G16</f>
        <v>0</v>
      </c>
      <c r="D35" s="172">
        <f>'Оборот. К.'!K16</f>
        <v>0</v>
      </c>
      <c r="E35" s="172">
        <f>'Оборот. К.'!O16</f>
        <v>0</v>
      </c>
      <c r="F35" s="172">
        <f>'Оборот. К.'!S16</f>
        <v>0</v>
      </c>
      <c r="G35" s="172">
        <f>'Оборот. К.'!W16</f>
        <v>0</v>
      </c>
    </row>
    <row r="36" spans="1:8" x14ac:dyDescent="0.2">
      <c r="A36" s="207" t="s">
        <v>332</v>
      </c>
      <c r="B36" s="80" t="s">
        <v>117</v>
      </c>
      <c r="C36" s="179">
        <f>'Оборот. К.'!G17</f>
        <v>0</v>
      </c>
      <c r="D36" s="179">
        <f>'Оборот. К.'!K17</f>
        <v>0</v>
      </c>
      <c r="E36" s="179">
        <f>'Оборот. К.'!O17</f>
        <v>0</v>
      </c>
      <c r="F36" s="179">
        <f>'Оборот. К.'!S17</f>
        <v>0</v>
      </c>
      <c r="G36" s="179">
        <f>'Оборот. К.'!W17</f>
        <v>0</v>
      </c>
    </row>
    <row r="37" spans="1:8" x14ac:dyDescent="0.2">
      <c r="A37" s="207" t="s">
        <v>334</v>
      </c>
      <c r="B37" s="80" t="s">
        <v>117</v>
      </c>
      <c r="C37" s="179">
        <f>'Оборот. К.'!G18</f>
        <v>0</v>
      </c>
      <c r="D37" s="179">
        <f>'Оборот. К.'!K18</f>
        <v>0</v>
      </c>
      <c r="E37" s="179">
        <f>'Оборот. К.'!O18</f>
        <v>0</v>
      </c>
      <c r="F37" s="179">
        <f>'Оборот. К.'!S18</f>
        <v>0</v>
      </c>
      <c r="G37" s="179">
        <f>'Оборот. К.'!W18</f>
        <v>0</v>
      </c>
    </row>
    <row r="38" spans="1:8" x14ac:dyDescent="0.2">
      <c r="A38" s="207" t="s">
        <v>424</v>
      </c>
      <c r="B38" s="80" t="s">
        <v>117</v>
      </c>
      <c r="C38" s="179">
        <f>'Оборот. К.'!G19</f>
        <v>4374.9999999999973</v>
      </c>
      <c r="D38" s="179">
        <f>'Оборот. К.'!K19</f>
        <v>-4.4803123165365832E-2</v>
      </c>
      <c r="E38" s="179">
        <f>'Оборот. К.'!O19</f>
        <v>-5.600390395670729E-2</v>
      </c>
      <c r="F38" s="179">
        <f>'Оборот. К.'!S19</f>
        <v>-31210.843496697122</v>
      </c>
      <c r="G38" s="179">
        <f>'Оборот. К.'!W19</f>
        <v>-39013.554370871403</v>
      </c>
    </row>
    <row r="39" spans="1:8" x14ac:dyDescent="0.2">
      <c r="A39" s="167" t="s">
        <v>442</v>
      </c>
      <c r="B39" s="80" t="s">
        <v>117</v>
      </c>
      <c r="C39" s="173">
        <f>SUM(C34:C38)</f>
        <v>4374.9999999999973</v>
      </c>
      <c r="D39" s="173">
        <f>SUM(D34:D38)</f>
        <v>-4.4803123165365832E-2</v>
      </c>
      <c r="E39" s="173">
        <f>SUM(E34:E38)</f>
        <v>-5.600390395670729E-2</v>
      </c>
      <c r="F39" s="173">
        <f>SUM(F34:F38)</f>
        <v>-31210.843496697122</v>
      </c>
      <c r="G39" s="173">
        <f>SUM(G34:G38)</f>
        <v>-39013.554370871403</v>
      </c>
    </row>
    <row r="40" spans="1:8" x14ac:dyDescent="0.2">
      <c r="A40" s="168"/>
      <c r="B40" s="168"/>
      <c r="C40" s="176"/>
      <c r="D40" s="177"/>
      <c r="E40" s="177"/>
      <c r="F40" s="177"/>
      <c r="G40" s="177"/>
    </row>
    <row r="41" spans="1:8" s="188" customFormat="1" x14ac:dyDescent="0.2">
      <c r="A41" s="171" t="s">
        <v>444</v>
      </c>
      <c r="B41" s="80" t="s">
        <v>117</v>
      </c>
      <c r="C41" s="173">
        <f>C27+C31+C39</f>
        <v>60584.372277337476</v>
      </c>
      <c r="D41" s="173">
        <f>D27+D31+D39</f>
        <v>144283.36882423679</v>
      </c>
      <c r="E41" s="173">
        <f>E27+E31+E39</f>
        <v>362886.29313566739</v>
      </c>
      <c r="F41" s="173">
        <f>F27+F31+F39</f>
        <v>740300.26052296406</v>
      </c>
      <c r="G41" s="173">
        <f>G27+G31+G39</f>
        <v>1147613.2871657591</v>
      </c>
    </row>
    <row r="42" spans="1:8" ht="13.5" customHeight="1" x14ac:dyDescent="0.2">
      <c r="A42" s="168"/>
      <c r="B42" s="168"/>
      <c r="C42" s="164" t="b">
        <f>ROUND(C41,)=ROUND('Форма 1'!I36,)</f>
        <v>1</v>
      </c>
      <c r="D42" s="164" t="b">
        <f>D41='Форма 1'!M36</f>
        <v>1</v>
      </c>
      <c r="E42" s="164" t="b">
        <f>E41='Форма 1'!Q36</f>
        <v>1</v>
      </c>
      <c r="F42" s="164" t="b">
        <f>F41='Форма 1'!U36</f>
        <v>1</v>
      </c>
      <c r="G42" s="164" t="b">
        <f>G41='Форма 1'!Y36</f>
        <v>1</v>
      </c>
    </row>
    <row r="43" spans="1:8" ht="13.5" customHeight="1" x14ac:dyDescent="0.2">
      <c r="A43" s="168"/>
      <c r="B43" s="168"/>
      <c r="C43" s="164"/>
      <c r="D43" s="164"/>
      <c r="E43" s="164"/>
      <c r="F43" s="164"/>
      <c r="G43" s="164"/>
    </row>
    <row r="44" spans="1:8" ht="13.5" customHeight="1" x14ac:dyDescent="0.2">
      <c r="A44" s="189" t="s">
        <v>80</v>
      </c>
      <c r="B44" s="168"/>
      <c r="C44" s="164">
        <f>C19-C41</f>
        <v>0</v>
      </c>
      <c r="D44" s="164">
        <f>D19-D41</f>
        <v>0</v>
      </c>
      <c r="E44" s="164">
        <f>E19-E41</f>
        <v>-434.59090909094084</v>
      </c>
      <c r="F44" s="164">
        <f>F19-F41</f>
        <v>-434.59090909094084</v>
      </c>
      <c r="G44" s="164">
        <f>G19-G41</f>
        <v>-434.59090909082443</v>
      </c>
    </row>
    <row r="45" spans="1:8" x14ac:dyDescent="0.2">
      <c r="A45" s="168"/>
      <c r="B45" s="168"/>
      <c r="C45" s="176"/>
      <c r="D45" s="177"/>
      <c r="E45" s="177"/>
      <c r="F45" s="177"/>
      <c r="G45" s="177"/>
    </row>
    <row r="47" spans="1:8" x14ac:dyDescent="0.2">
      <c r="A47" s="11" t="s">
        <v>456</v>
      </c>
      <c r="B47" s="174" t="s">
        <v>108</v>
      </c>
      <c r="C47" s="3">
        <f>Окружение!D4</f>
        <v>2014</v>
      </c>
      <c r="D47" s="4">
        <f>C47+1</f>
        <v>2015</v>
      </c>
      <c r="E47" s="5">
        <f>D47+1</f>
        <v>2016</v>
      </c>
      <c r="F47" s="6">
        <f>E47+1</f>
        <v>2017</v>
      </c>
      <c r="G47" s="7">
        <f>F47+1</f>
        <v>2018</v>
      </c>
      <c r="H47" s="20"/>
    </row>
    <row r="48" spans="1:8" x14ac:dyDescent="0.2">
      <c r="A48" s="190"/>
      <c r="B48" s="190"/>
      <c r="C48" s="170"/>
      <c r="D48" s="170"/>
      <c r="E48" s="170"/>
      <c r="F48" s="170"/>
      <c r="G48" s="170"/>
    </row>
    <row r="49" spans="1:7" x14ac:dyDescent="0.2">
      <c r="A49" s="191" t="s">
        <v>157</v>
      </c>
      <c r="B49" s="80" t="s">
        <v>117</v>
      </c>
      <c r="C49" s="172">
        <f>SUM('Форма 2'!F4:I4)</f>
        <v>96373.118802022698</v>
      </c>
      <c r="D49" s="172">
        <f>SUM('Форма 2'!J4:M4)</f>
        <v>291214.84782289906</v>
      </c>
      <c r="E49" s="172">
        <f>SUM('Форма 2'!N4:Q4)</f>
        <v>603375.70716760703</v>
      </c>
      <c r="F49" s="172">
        <f>SUM('Форма 2'!R4:U4)</f>
        <v>955241.27754120529</v>
      </c>
      <c r="G49" s="172">
        <f>SUM('Форма 2'!V4:Y4)</f>
        <v>1119273.5975682978</v>
      </c>
    </row>
    <row r="50" spans="1:7" x14ac:dyDescent="0.2">
      <c r="A50" s="191"/>
      <c r="B50" s="80"/>
      <c r="C50" s="195"/>
      <c r="D50" s="195"/>
      <c r="E50" s="195"/>
      <c r="F50" s="195"/>
      <c r="G50" s="195"/>
    </row>
    <row r="51" spans="1:7" x14ac:dyDescent="0.2">
      <c r="A51" s="191" t="s">
        <v>446</v>
      </c>
      <c r="B51" s="80" t="s">
        <v>117</v>
      </c>
      <c r="C51" s="173">
        <f>C52+C53+C54+C55+C56</f>
        <v>-41666.126915726789</v>
      </c>
      <c r="D51" s="173">
        <f>D52+D53+D54+D55+D56</f>
        <v>-155363.47537654781</v>
      </c>
      <c r="E51" s="173">
        <f>E52+E53+E54+E55+E56</f>
        <v>-314255.21719737828</v>
      </c>
      <c r="F51" s="173">
        <f>F52+F53+F54+F55+F56</f>
        <v>-453223.84539003874</v>
      </c>
      <c r="G51" s="173">
        <f>G52+G53+G54+G55+G56</f>
        <v>-581792.53519347904</v>
      </c>
    </row>
    <row r="52" spans="1:7" x14ac:dyDescent="0.2">
      <c r="A52" s="220" t="s">
        <v>447</v>
      </c>
      <c r="B52" s="80" t="s">
        <v>117</v>
      </c>
      <c r="C52" s="175">
        <f>SUM('Форма 2'!F6:I6)</f>
        <v>-32305.1741964299</v>
      </c>
      <c r="D52" s="175">
        <f>SUM('Форма 2'!J6:M6)</f>
        <v>-137207.84321201884</v>
      </c>
      <c r="E52" s="175">
        <f>SUM('Форма 2'!N6:Q6)</f>
        <v>-294889.79082207242</v>
      </c>
      <c r="F52" s="175">
        <f>SUM('Форма 2'!R6:U6)</f>
        <v>-432739.83456322522</v>
      </c>
      <c r="G52" s="175">
        <f>SUM('Форма 2'!V6:Y6)</f>
        <v>-560288.45962077926</v>
      </c>
    </row>
    <row r="53" spans="1:7" x14ac:dyDescent="0.2">
      <c r="A53" s="220" t="s">
        <v>257</v>
      </c>
      <c r="B53" s="80" t="s">
        <v>117</v>
      </c>
      <c r="C53" s="175">
        <f>SUM('Форма 2'!F7:I7)</f>
        <v>-4809.6420155153482</v>
      </c>
      <c r="D53" s="175">
        <f>SUM('Форма 2'!J7:M7)</f>
        <v>-10355.892001277069</v>
      </c>
      <c r="E53" s="175">
        <f>SUM('Форма 2'!N7:Q7)</f>
        <v>-11043.919674599778</v>
      </c>
      <c r="F53" s="175">
        <f>SUM('Форма 2'!R7:U7)</f>
        <v>-11636.946456177016</v>
      </c>
      <c r="G53" s="175">
        <f>SUM('Форма 2'!V7:Y7)</f>
        <v>-12218.79377898587</v>
      </c>
    </row>
    <row r="54" spans="1:7" ht="12" customHeight="1" x14ac:dyDescent="0.2">
      <c r="A54" s="220" t="s">
        <v>448</v>
      </c>
      <c r="B54" s="80" t="s">
        <v>117</v>
      </c>
      <c r="C54" s="175">
        <f>SUM('Форма 2'!F8:I8)</f>
        <v>-1635.2782852752184</v>
      </c>
      <c r="D54" s="175">
        <f>SUM('Форма 2'!J8:M8)</f>
        <v>-3521.0032804342031</v>
      </c>
      <c r="E54" s="175">
        <f>SUM('Форма 2'!N8:Q8)</f>
        <v>-3754.9326893639245</v>
      </c>
      <c r="F54" s="175">
        <f>SUM('Форма 2'!R8:U8)</f>
        <v>-3956.5617951001859</v>
      </c>
      <c r="G54" s="175">
        <f>SUM('Форма 2'!V8:Y8)</f>
        <v>-4154.3898848551962</v>
      </c>
    </row>
    <row r="55" spans="1:7" x14ac:dyDescent="0.2">
      <c r="A55" s="220" t="s">
        <v>381</v>
      </c>
      <c r="B55" s="80" t="s">
        <v>117</v>
      </c>
      <c r="C55" s="175">
        <f>SUM('Форма 2'!F9:I9)</f>
        <v>-2915.8165094154101</v>
      </c>
      <c r="D55" s="175">
        <f>SUM('Форма 2'!J9:M9)</f>
        <v>-4278.5209737267996</v>
      </c>
      <c r="E55" s="175">
        <f>SUM('Форма 2'!N9:Q9)</f>
        <v>-4562.7785567966739</v>
      </c>
      <c r="F55" s="175">
        <f>SUM('Форма 2'!R9:U9)</f>
        <v>-4807.7866664454632</v>
      </c>
      <c r="G55" s="175">
        <f>SUM('Форма 2'!V9:Y9)</f>
        <v>-5048.1759997677382</v>
      </c>
    </row>
    <row r="56" spans="1:7" x14ac:dyDescent="0.2">
      <c r="A56" s="220" t="s">
        <v>154</v>
      </c>
      <c r="B56" s="80" t="s">
        <v>117</v>
      </c>
      <c r="C56" s="175">
        <f>SUM('Форма 2'!F10:I10)</f>
        <v>-0.21590909090909091</v>
      </c>
      <c r="D56" s="175">
        <f>SUM('Форма 2'!J10:M10)</f>
        <v>-0.21590909090909091</v>
      </c>
      <c r="E56" s="175">
        <f>SUM('Форма 2'!N10:Q10)</f>
        <v>-3.7954545454545454</v>
      </c>
      <c r="F56" s="175">
        <f>SUM('Форма 2'!R10:U10)</f>
        <v>-82.715909090909079</v>
      </c>
      <c r="G56" s="175">
        <f>SUM('Форма 2'!V10:Y10)</f>
        <v>-82.715909090909079</v>
      </c>
    </row>
    <row r="57" spans="1:7" x14ac:dyDescent="0.2">
      <c r="A57" s="192"/>
      <c r="B57" s="80"/>
      <c r="C57" s="194"/>
      <c r="D57" s="201"/>
      <c r="E57" s="201"/>
      <c r="F57" s="201"/>
      <c r="G57" s="201"/>
    </row>
    <row r="58" spans="1:7" s="161" customFormat="1" x14ac:dyDescent="0.2">
      <c r="A58" s="193" t="s">
        <v>20</v>
      </c>
      <c r="B58" s="80" t="s">
        <v>117</v>
      </c>
      <c r="C58" s="173">
        <f>C49+C51</f>
        <v>54706.991886295909</v>
      </c>
      <c r="D58" s="173">
        <f>D49+D51</f>
        <v>135851.37244635125</v>
      </c>
      <c r="E58" s="173">
        <f>E49+E51</f>
        <v>289120.48997022875</v>
      </c>
      <c r="F58" s="173">
        <f>F49+F51</f>
        <v>502017.43215116655</v>
      </c>
      <c r="G58" s="173">
        <f>G49+G51</f>
        <v>537481.06237481872</v>
      </c>
    </row>
    <row r="59" spans="1:7" x14ac:dyDescent="0.2">
      <c r="A59" s="192"/>
      <c r="B59" s="80"/>
      <c r="C59" s="199"/>
      <c r="D59" s="200"/>
      <c r="E59" s="200"/>
      <c r="F59" s="200"/>
      <c r="G59" s="200"/>
    </row>
    <row r="60" spans="1:7" s="197" customFormat="1" x14ac:dyDescent="0.2">
      <c r="A60" s="210" t="s">
        <v>383</v>
      </c>
      <c r="B60" s="80" t="s">
        <v>117</v>
      </c>
      <c r="C60" s="172">
        <f>SUM('Форма 2'!F13:I13)</f>
        <v>-4957.6310006081285</v>
      </c>
      <c r="D60" s="172">
        <f>SUM('Форма 2'!J13:M13)</f>
        <v>-8005.9011240641948</v>
      </c>
      <c r="E60" s="172">
        <f>SUM('Форма 2'!N13:Q13)</f>
        <v>-8537.7994407482893</v>
      </c>
      <c r="F60" s="172">
        <f>SUM('Форма 2'!R13:U13)</f>
        <v>-8996.2547603522326</v>
      </c>
      <c r="G60" s="172">
        <f>SUM('Форма 2'!V13:Y13)</f>
        <v>-9446.0674983698482</v>
      </c>
    </row>
    <row r="61" spans="1:7" s="197" customFormat="1" x14ac:dyDescent="0.2">
      <c r="A61" s="210" t="s">
        <v>145</v>
      </c>
      <c r="B61" s="80" t="s">
        <v>117</v>
      </c>
      <c r="C61" s="172">
        <f>SUM('Форма 2'!F14:I14)</f>
        <v>-3025.3283583840675</v>
      </c>
      <c r="D61" s="172">
        <f>SUM('Форма 2'!J14:M14)</f>
        <v>-4906.1196347589175</v>
      </c>
      <c r="E61" s="172">
        <f>SUM('Форма 2'!N14:Q14)</f>
        <v>-7388.6932983072402</v>
      </c>
      <c r="F61" s="172">
        <f>SUM('Форма 2'!R14:U14)</f>
        <v>-8589.0565179747482</v>
      </c>
      <c r="G61" s="172">
        <f>SUM('Форма 2'!V14:Y14)</f>
        <v>-9018.5093438734875</v>
      </c>
    </row>
    <row r="62" spans="1:7" x14ac:dyDescent="0.2">
      <c r="A62" s="192"/>
      <c r="B62" s="80"/>
      <c r="C62" s="199"/>
      <c r="D62" s="200"/>
      <c r="E62" s="200"/>
      <c r="F62" s="200"/>
      <c r="G62" s="200"/>
    </row>
    <row r="63" spans="1:7" s="161" customFormat="1" x14ac:dyDescent="0.2">
      <c r="A63" s="198" t="s">
        <v>23</v>
      </c>
      <c r="B63" s="80" t="s">
        <v>117</v>
      </c>
      <c r="C63" s="173">
        <f>C58+C60+C61</f>
        <v>46724.032527303716</v>
      </c>
      <c r="D63" s="173">
        <f>D58+D60+D61</f>
        <v>122939.35168752813</v>
      </c>
      <c r="E63" s="173">
        <f>E58+E60+E61</f>
        <v>273193.99723117321</v>
      </c>
      <c r="F63" s="173">
        <f>F58+F60+F61</f>
        <v>484432.12087283953</v>
      </c>
      <c r="G63" s="173">
        <f>G58+G60+G61</f>
        <v>519016.4855325754</v>
      </c>
    </row>
    <row r="64" spans="1:7" x14ac:dyDescent="0.2">
      <c r="A64" s="192"/>
      <c r="B64" s="80"/>
      <c r="C64" s="199"/>
      <c r="D64" s="200"/>
      <c r="E64" s="200"/>
      <c r="F64" s="200"/>
      <c r="G64" s="200"/>
    </row>
    <row r="65" spans="1:7" s="197" customFormat="1" ht="12" customHeight="1" x14ac:dyDescent="0.2">
      <c r="A65" s="210" t="s">
        <v>449</v>
      </c>
      <c r="B65" s="80" t="s">
        <v>117</v>
      </c>
      <c r="C65" s="172">
        <f>SUM('Форма 2'!F17:I17)</f>
        <v>0</v>
      </c>
      <c r="D65" s="172">
        <f>SUM('Форма 2'!J17:M17)</f>
        <v>0</v>
      </c>
      <c r="E65" s="172">
        <f>SUM('Форма 2'!N17:Q17)</f>
        <v>-2.8278409090909089</v>
      </c>
      <c r="F65" s="172">
        <f>SUM('Форма 2'!R17:U17)</f>
        <v>-114.77727272727272</v>
      </c>
      <c r="G65" s="172">
        <f>SUM('Форма 2'!V17:Y17)</f>
        <v>-121.81363636363635</v>
      </c>
    </row>
    <row r="66" spans="1:7" s="197" customFormat="1" x14ac:dyDescent="0.2">
      <c r="A66" s="210" t="s">
        <v>450</v>
      </c>
      <c r="B66" s="80" t="s">
        <v>117</v>
      </c>
      <c r="C66" s="172">
        <f>SUM('Форма 2'!F18:I18)</f>
        <v>0</v>
      </c>
      <c r="D66" s="172">
        <f>SUM('Форма 2'!J18:M18)</f>
        <v>7778.2</v>
      </c>
      <c r="E66" s="172">
        <f>SUM('Форма 2'!N18:Q18)</f>
        <v>0</v>
      </c>
      <c r="F66" s="172">
        <f>SUM('Форма 2'!R18:U18)</f>
        <v>26401.1</v>
      </c>
      <c r="G66" s="172">
        <f>SUM('Форма 2'!V18:Y18)</f>
        <v>0</v>
      </c>
    </row>
    <row r="67" spans="1:7" x14ac:dyDescent="0.2">
      <c r="A67" s="192"/>
      <c r="B67" s="80"/>
      <c r="C67" s="199"/>
      <c r="D67" s="200"/>
      <c r="E67" s="200"/>
      <c r="F67" s="200"/>
      <c r="G67" s="200"/>
    </row>
    <row r="68" spans="1:7" s="161" customFormat="1" x14ac:dyDescent="0.2">
      <c r="A68" s="198" t="s">
        <v>28</v>
      </c>
      <c r="B68" s="80" t="s">
        <v>117</v>
      </c>
      <c r="C68" s="173">
        <f>C63+C65+C66</f>
        <v>46724.032527303716</v>
      </c>
      <c r="D68" s="173">
        <f>D63+D65+D66</f>
        <v>130717.55168752813</v>
      </c>
      <c r="E68" s="173">
        <f>E63+E65+E66</f>
        <v>273191.16939026414</v>
      </c>
      <c r="F68" s="173">
        <f>F63+F65+F66</f>
        <v>510718.44360011222</v>
      </c>
      <c r="G68" s="173">
        <f>G63+G65+G66</f>
        <v>518894.67189621174</v>
      </c>
    </row>
    <row r="69" spans="1:7" x14ac:dyDescent="0.2">
      <c r="A69" s="192"/>
      <c r="B69" s="80"/>
      <c r="C69" s="199"/>
      <c r="D69" s="200"/>
      <c r="E69" s="200"/>
      <c r="F69" s="200"/>
      <c r="G69" s="200"/>
    </row>
    <row r="70" spans="1:7" x14ac:dyDescent="0.2">
      <c r="A70" s="210" t="s">
        <v>128</v>
      </c>
      <c r="B70" s="80" t="s">
        <v>117</v>
      </c>
      <c r="C70" s="172">
        <f>-SUM('Форма 2'!F23:I23)</f>
        <v>-9184.6602499662367</v>
      </c>
      <c r="D70" s="172">
        <f>-SUM('Форма 2'!J23:M23)</f>
        <v>-26143.510337505621</v>
      </c>
      <c r="E70" s="172">
        <f>-SUM('Форма 2'!N23:Q23)</f>
        <v>-54638.233878052852</v>
      </c>
      <c r="F70" s="172">
        <f>-SUM('Форма 2'!R23:U23)</f>
        <v>-102143.68872002247</v>
      </c>
      <c r="G70" s="172">
        <f>-SUM('Форма 2'!V23:Y23)</f>
        <v>-103778.93437924239</v>
      </c>
    </row>
    <row r="71" spans="1:7" s="197" customFormat="1" x14ac:dyDescent="0.2">
      <c r="A71" s="196"/>
      <c r="B71" s="92"/>
      <c r="C71" s="202"/>
      <c r="D71" s="203"/>
      <c r="E71" s="203"/>
      <c r="F71" s="203"/>
      <c r="G71" s="203"/>
    </row>
    <row r="72" spans="1:7" s="161" customFormat="1" x14ac:dyDescent="0.2">
      <c r="A72" s="193" t="s">
        <v>30</v>
      </c>
      <c r="B72" s="80" t="s">
        <v>117</v>
      </c>
      <c r="C72" s="173">
        <f>C68+C70</f>
        <v>37539.372277337476</v>
      </c>
      <c r="D72" s="173">
        <f>D68+D70</f>
        <v>104574.04135002251</v>
      </c>
      <c r="E72" s="173">
        <f>E68+E70</f>
        <v>218552.93551221129</v>
      </c>
      <c r="F72" s="173">
        <f>F68+F70</f>
        <v>408574.75488008978</v>
      </c>
      <c r="G72" s="173">
        <f>G68+G70</f>
        <v>415115.73751696933</v>
      </c>
    </row>
    <row r="73" spans="1:7" x14ac:dyDescent="0.2">
      <c r="A73" s="191"/>
      <c r="B73" s="80"/>
      <c r="C73" s="164" t="b">
        <f>ROUND(C72,)=ROUND(SUM('Форма 2'!F25:I25),)</f>
        <v>1</v>
      </c>
      <c r="D73" s="164" t="b">
        <f>ROUND(D72,)=ROUND(SUM('Форма 2'!J25:M25),)</f>
        <v>1</v>
      </c>
      <c r="E73" s="164" t="b">
        <f>ROUND(E72,)=ROUND(SUM('Форма 2'!N25:Q25),)</f>
        <v>1</v>
      </c>
      <c r="F73" s="164" t="b">
        <f>ROUND(F72,)=ROUND(SUM('Форма 2'!R25:U25),)</f>
        <v>1</v>
      </c>
      <c r="G73" s="164" t="b">
        <f>ROUND(G72,)=ROUND(SUM('Форма 2'!V25:Y25),)</f>
        <v>1</v>
      </c>
    </row>
    <row r="74" spans="1:7" x14ac:dyDescent="0.2">
      <c r="A74" s="166"/>
      <c r="B74" s="166"/>
      <c r="C74" s="170"/>
      <c r="D74" s="170"/>
      <c r="E74" s="170"/>
      <c r="F74" s="170"/>
      <c r="G74" s="170"/>
    </row>
    <row r="75" spans="1:7" x14ac:dyDescent="0.2">
      <c r="A75" s="166"/>
      <c r="B75" s="166"/>
      <c r="C75" s="170"/>
      <c r="D75" s="170"/>
      <c r="E75" s="170"/>
      <c r="F75" s="170"/>
      <c r="G75" s="170"/>
    </row>
    <row r="76" spans="1:7" x14ac:dyDescent="0.2">
      <c r="A76" s="166"/>
      <c r="B76" s="166"/>
      <c r="C76" s="227"/>
      <c r="D76" s="170"/>
      <c r="E76" s="170"/>
      <c r="F76" s="170"/>
      <c r="G76" s="219"/>
    </row>
    <row r="77" spans="1:7" x14ac:dyDescent="0.2">
      <c r="A77" s="166"/>
      <c r="B77" s="166"/>
      <c r="C77" s="170"/>
      <c r="D77" s="170"/>
      <c r="E77" s="170"/>
      <c r="F77" s="170"/>
      <c r="G77" s="170"/>
    </row>
    <row r="78" spans="1:7" x14ac:dyDescent="0.2">
      <c r="A78" s="166"/>
      <c r="B78" s="166"/>
      <c r="C78" s="170"/>
      <c r="D78" s="170"/>
      <c r="E78" s="170"/>
      <c r="F78" s="170"/>
      <c r="G78" s="170"/>
    </row>
    <row r="79" spans="1:7" x14ac:dyDescent="0.2">
      <c r="A79" s="166"/>
      <c r="B79" s="166"/>
      <c r="C79" s="170"/>
      <c r="D79" s="170"/>
      <c r="E79" s="170"/>
      <c r="F79" s="170"/>
      <c r="G79" s="170"/>
    </row>
  </sheetData>
  <hyperlinks>
    <hyperlink ref="A1" r:id="rId1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01"/>
  <sheetViews>
    <sheetView zoomScale="85" zoomScaleNormal="85" workbookViewId="0"/>
  </sheetViews>
  <sheetFormatPr defaultRowHeight="12.75" x14ac:dyDescent="0.2"/>
  <cols>
    <col min="1" max="1" width="41.140625" style="162" customWidth="1"/>
    <col min="2" max="2" width="11.85546875" style="162" customWidth="1"/>
    <col min="3" max="3" width="10.42578125" style="158" bestFit="1" customWidth="1"/>
    <col min="4" max="6" width="11.7109375" style="158" bestFit="1" customWidth="1"/>
    <col min="7" max="7" width="12.28515625" style="158" bestFit="1" customWidth="1"/>
    <col min="8" max="16384" width="9.140625" style="158"/>
  </cols>
  <sheetData>
    <row r="1" spans="1:8" ht="18" x14ac:dyDescent="0.25">
      <c r="A1" s="319" t="s">
        <v>573</v>
      </c>
    </row>
    <row r="2" spans="1:8" x14ac:dyDescent="0.2">
      <c r="A2" s="11" t="s">
        <v>453</v>
      </c>
      <c r="B2" s="174" t="s">
        <v>108</v>
      </c>
      <c r="C2" s="3">
        <f>Окружение!D4</f>
        <v>2014</v>
      </c>
      <c r="D2" s="4">
        <f>C2+1</f>
        <v>2015</v>
      </c>
      <c r="E2" s="5">
        <f>D2+1</f>
        <v>2016</v>
      </c>
      <c r="F2" s="6">
        <f>E2+1</f>
        <v>2017</v>
      </c>
      <c r="G2" s="7">
        <f>F2+1</f>
        <v>2018</v>
      </c>
    </row>
    <row r="3" spans="1:8" s="159" customFormat="1" x14ac:dyDescent="0.2">
      <c r="A3" s="165"/>
      <c r="B3" s="165"/>
    </row>
    <row r="4" spans="1:8" x14ac:dyDescent="0.2">
      <c r="A4" s="185" t="s">
        <v>214</v>
      </c>
      <c r="B4" s="135"/>
      <c r="C4" s="62"/>
      <c r="D4" s="62"/>
      <c r="E4" s="62"/>
      <c r="F4" s="63"/>
      <c r="G4" s="62"/>
      <c r="H4" s="170"/>
    </row>
    <row r="5" spans="1:8" x14ac:dyDescent="0.2">
      <c r="A5" s="25" t="s">
        <v>435</v>
      </c>
      <c r="B5" s="25"/>
      <c r="C5" s="170"/>
      <c r="D5" s="170"/>
      <c r="E5" s="170"/>
      <c r="F5" s="170"/>
      <c r="G5" s="170"/>
    </row>
    <row r="6" spans="1:8" x14ac:dyDescent="0.2">
      <c r="A6" s="207" t="s">
        <v>316</v>
      </c>
      <c r="B6" s="80" t="s">
        <v>117</v>
      </c>
      <c r="C6" s="181" t="s">
        <v>312</v>
      </c>
      <c r="D6" s="180">
        <f>'Прогнозные отчеты'!D6-'Прогнозные отчеты'!C6</f>
        <v>-0.21590909090909349</v>
      </c>
      <c r="E6" s="180">
        <f>'Прогнозные отчеты'!E6-'Прогнозные отчеты'!D6</f>
        <v>-0.21590909090908994</v>
      </c>
      <c r="F6" s="180">
        <f>'Прогнозные отчеты'!F6-'Прогнозные отчеты'!E6</f>
        <v>-0.21590909090908994</v>
      </c>
      <c r="G6" s="180">
        <f>'Прогнозные отчеты'!G6-'Прогнозные отчеты'!F6</f>
        <v>-0.21590909090908994</v>
      </c>
    </row>
    <row r="7" spans="1:8" x14ac:dyDescent="0.2">
      <c r="A7" s="207" t="s">
        <v>315</v>
      </c>
      <c r="B7" s="80" t="s">
        <v>117</v>
      </c>
      <c r="C7" s="181" t="s">
        <v>312</v>
      </c>
      <c r="D7" s="180">
        <f>'Прогнозные отчеты'!D7-'Прогнозные отчеты'!C7</f>
        <v>0</v>
      </c>
      <c r="E7" s="180">
        <f>'Прогнозные отчеты'!E7-'Прогнозные отчеты'!D7</f>
        <v>282.78409090909088</v>
      </c>
      <c r="F7" s="180">
        <f>'Прогнозные отчеты'!F7-'Прогнозные отчеты'!E7</f>
        <v>1281.1363636363635</v>
      </c>
      <c r="G7" s="180">
        <f>'Прогнозные отчеты'!G7-'Прогнозные отчеты'!F7</f>
        <v>-82.5</v>
      </c>
    </row>
    <row r="8" spans="1:8" x14ac:dyDescent="0.2">
      <c r="A8" s="207" t="s">
        <v>219</v>
      </c>
      <c r="B8" s="80" t="s">
        <v>117</v>
      </c>
      <c r="C8" s="181" t="s">
        <v>312</v>
      </c>
      <c r="D8" s="180">
        <f>'Прогнозные отчеты'!D8-'Прогнозные отчеты'!C8</f>
        <v>687.27272727272725</v>
      </c>
      <c r="E8" s="180">
        <f>'Прогнозные отчеты'!E8-'Прогнозные отчеты'!D8</f>
        <v>102.68181818181802</v>
      </c>
      <c r="F8" s="180">
        <f>'Прогнозные отчеты'!F8-'Прогнозные отчеты'!E8</f>
        <v>-1227.272727272727</v>
      </c>
      <c r="G8" s="180">
        <f>'Прогнозные отчеты'!G8-'Прогнозные отчеты'!F8</f>
        <v>0</v>
      </c>
    </row>
    <row r="9" spans="1:8" x14ac:dyDescent="0.2">
      <c r="A9" s="171" t="s">
        <v>436</v>
      </c>
      <c r="B9" s="80" t="s">
        <v>117</v>
      </c>
      <c r="C9" s="212" t="s">
        <v>312</v>
      </c>
      <c r="D9" s="182">
        <f>'Прогнозные отчеты'!D9-'Прогнозные отчеты'!C9</f>
        <v>687.05681818181802</v>
      </c>
      <c r="E9" s="182">
        <f>'Прогнозные отчеты'!E9-'Прогнозные отчеты'!D9</f>
        <v>385.25</v>
      </c>
      <c r="F9" s="182">
        <f>'Прогнозные отчеты'!F9-'Прогнозные отчеты'!E9</f>
        <v>53.647727272727252</v>
      </c>
      <c r="G9" s="182">
        <f>'Прогнозные отчеты'!G9-'Прогнозные отчеты'!F9</f>
        <v>-82.715909090909236</v>
      </c>
    </row>
    <row r="10" spans="1:8" x14ac:dyDescent="0.2">
      <c r="A10" s="169"/>
      <c r="B10" s="169"/>
      <c r="C10" s="187"/>
      <c r="D10" s="184"/>
      <c r="E10" s="184"/>
      <c r="F10" s="184"/>
      <c r="G10" s="184"/>
    </row>
    <row r="11" spans="1:8" x14ac:dyDescent="0.2">
      <c r="A11" s="25" t="s">
        <v>220</v>
      </c>
      <c r="B11" s="158"/>
      <c r="C11" s="187"/>
      <c r="D11" s="184"/>
      <c r="E11" s="184"/>
      <c r="F11" s="184"/>
      <c r="G11" s="184"/>
    </row>
    <row r="12" spans="1:8" x14ac:dyDescent="0.2">
      <c r="A12" s="207" t="s">
        <v>437</v>
      </c>
      <c r="B12" s="80" t="s">
        <v>117</v>
      </c>
      <c r="C12" s="181" t="s">
        <v>312</v>
      </c>
      <c r="D12" s="180">
        <f>'Прогнозные отчеты'!D12-'Прогнозные отчеты'!C12</f>
        <v>22744.365769375203</v>
      </c>
      <c r="E12" s="180">
        <f>'Прогнозные отчеты'!E12-'Прогнозные отчеты'!D12</f>
        <v>18068.383614040507</v>
      </c>
      <c r="F12" s="180">
        <f>'Прогнозные отчеты'!F12-'Прогнозные отчеты'!E12</f>
        <v>17115.919072574856</v>
      </c>
      <c r="G12" s="180">
        <f>'Прогнозные отчеты'!G12-'Прогнозные отчеты'!F12</f>
        <v>17125.166339383766</v>
      </c>
    </row>
    <row r="13" spans="1:8" x14ac:dyDescent="0.2">
      <c r="A13" s="208" t="s">
        <v>330</v>
      </c>
      <c r="B13" s="80" t="s">
        <v>117</v>
      </c>
      <c r="C13" s="181" t="s">
        <v>312</v>
      </c>
      <c r="D13" s="180">
        <f>'Прогнозные отчеты'!D13-'Прогнозные отчеты'!C13</f>
        <v>23888.722291045353</v>
      </c>
      <c r="E13" s="180">
        <f>'Прогнозные отчеты'!E13-'Прогнозные отчеты'!D13</f>
        <v>82494.014641103466</v>
      </c>
      <c r="F13" s="180">
        <f>'Прогнозные отчеты'!F13-'Прогнозные отчеты'!E13</f>
        <v>87710.7428103657</v>
      </c>
      <c r="G13" s="180">
        <f>'Прогнозные отчеты'!G13-'Прогнозные отчеты'!F13</f>
        <v>31108.133054622274</v>
      </c>
    </row>
    <row r="14" spans="1:8" x14ac:dyDescent="0.2">
      <c r="A14" s="207" t="s">
        <v>329</v>
      </c>
      <c r="B14" s="80" t="s">
        <v>117</v>
      </c>
      <c r="C14" s="181" t="s">
        <v>312</v>
      </c>
      <c r="D14" s="180">
        <f>'Прогнозные отчеты'!D14-'Прогнозные отчеты'!C14</f>
        <v>17136.815612748895</v>
      </c>
      <c r="E14" s="180">
        <f>'Прогнозные отчеты'!E14-'Прогнозные отчеты'!D14</f>
        <v>-7194.7157197724773</v>
      </c>
      <c r="F14" s="180">
        <f>'Прогнозные отчеты'!F14-'Прогнозные отчеты'!E14</f>
        <v>6839.9926055111355</v>
      </c>
      <c r="G14" s="180">
        <f>'Прогнозные отчеты'!G14-'Прогнозные отчеты'!F14</f>
        <v>6888.210466413042</v>
      </c>
    </row>
    <row r="15" spans="1:8" x14ac:dyDescent="0.2">
      <c r="A15" s="207" t="s">
        <v>314</v>
      </c>
      <c r="B15" s="80" t="s">
        <v>117</v>
      </c>
      <c r="C15" s="181" t="s">
        <v>312</v>
      </c>
      <c r="D15" s="180">
        <f>'Прогнозные отчеты'!D15-'Прогнозные отчеты'!C15</f>
        <v>0</v>
      </c>
      <c r="E15" s="180">
        <f>'Прогнозные отчеты'!E15-'Прогнозные отчеты'!D15</f>
        <v>0</v>
      </c>
      <c r="F15" s="180">
        <f>'Прогнозные отчеты'!F15-'Прогнозные отчеты'!E15</f>
        <v>0</v>
      </c>
      <c r="G15" s="180">
        <f>'Прогнозные отчеты'!G15-'Прогнозные отчеты'!F15</f>
        <v>0</v>
      </c>
    </row>
    <row r="16" spans="1:8" x14ac:dyDescent="0.2">
      <c r="A16" s="207" t="s">
        <v>313</v>
      </c>
      <c r="B16" s="80" t="s">
        <v>117</v>
      </c>
      <c r="C16" s="181" t="s">
        <v>312</v>
      </c>
      <c r="D16" s="180">
        <f>'Прогнозные отчеты'!D16-'Прогнозные отчеты'!C16</f>
        <v>19242.036055548051</v>
      </c>
      <c r="E16" s="180">
        <f>'Прогнозные отчеты'!E16-'Прогнозные отчеты'!D16</f>
        <v>124415.40086696812</v>
      </c>
      <c r="F16" s="180">
        <f>'Прогнозные отчеты'!F16-'Прогнозные отчеты'!E16</f>
        <v>265693.66517157224</v>
      </c>
      <c r="G16" s="180">
        <f>'Прогнозные отчеты'!G16-'Прогнозные отчеты'!F16</f>
        <v>352274.23269146716</v>
      </c>
    </row>
    <row r="17" spans="1:7" x14ac:dyDescent="0.2">
      <c r="A17" s="171" t="s">
        <v>438</v>
      </c>
      <c r="B17" s="80" t="s">
        <v>117</v>
      </c>
      <c r="C17" s="212" t="s">
        <v>312</v>
      </c>
      <c r="D17" s="182">
        <f>'Прогнозные отчеты'!D17-'Прогнозные отчеты'!C17</f>
        <v>83011.939728717494</v>
      </c>
      <c r="E17" s="182">
        <f>'Прогнозные отчеты'!E17-'Прогнозные отчеты'!D17</f>
        <v>217783.08340233966</v>
      </c>
      <c r="F17" s="182">
        <f>'Прогнозные отчеты'!F17-'Прогнозные отчеты'!E17</f>
        <v>377360.3196600239</v>
      </c>
      <c r="G17" s="182">
        <f>'Прогнозные отчеты'!G17-'Прогнозные отчеты'!F17</f>
        <v>407395.74255188624</v>
      </c>
    </row>
    <row r="18" spans="1:7" x14ac:dyDescent="0.2">
      <c r="A18" s="168"/>
      <c r="B18" s="168"/>
      <c r="C18" s="187"/>
      <c r="D18" s="184"/>
      <c r="E18" s="184"/>
      <c r="F18" s="184"/>
      <c r="G18" s="184"/>
    </row>
    <row r="19" spans="1:7" x14ac:dyDescent="0.2">
      <c r="A19" s="160" t="s">
        <v>443</v>
      </c>
      <c r="B19" s="80" t="s">
        <v>117</v>
      </c>
      <c r="C19" s="212" t="s">
        <v>312</v>
      </c>
      <c r="D19" s="182">
        <f>'Прогнозные отчеты'!D19-'Прогнозные отчеты'!C19</f>
        <v>83698.996546899318</v>
      </c>
      <c r="E19" s="182">
        <f>'Прогнозные отчеты'!E19-'Прогнозные отчеты'!D19</f>
        <v>218168.33340233966</v>
      </c>
      <c r="F19" s="182">
        <f>'Прогнозные отчеты'!F19-'Прогнозные отчеты'!E19</f>
        <v>377413.96738729667</v>
      </c>
      <c r="G19" s="182">
        <f>'Прогнозные отчеты'!G19-'Прогнозные отчеты'!F19</f>
        <v>407313.02664279519</v>
      </c>
    </row>
    <row r="20" spans="1:7" x14ac:dyDescent="0.2">
      <c r="A20" s="158"/>
      <c r="B20" s="158"/>
      <c r="C20" s="187"/>
      <c r="D20" s="184"/>
      <c r="E20" s="184"/>
      <c r="F20" s="184"/>
      <c r="G20" s="184"/>
    </row>
    <row r="21" spans="1:7" x14ac:dyDescent="0.2">
      <c r="A21" s="158"/>
      <c r="B21" s="158"/>
      <c r="C21" s="187"/>
      <c r="D21" s="184"/>
      <c r="E21" s="184"/>
      <c r="F21" s="184"/>
      <c r="G21" s="184"/>
    </row>
    <row r="22" spans="1:7" x14ac:dyDescent="0.2">
      <c r="A22" s="185" t="s">
        <v>222</v>
      </c>
      <c r="B22" s="135"/>
      <c r="C22" s="62"/>
      <c r="D22" s="62"/>
      <c r="E22" s="62"/>
      <c r="F22" s="63"/>
      <c r="G22" s="62"/>
    </row>
    <row r="23" spans="1:7" x14ac:dyDescent="0.2">
      <c r="A23" s="25" t="s">
        <v>200</v>
      </c>
      <c r="B23" s="158"/>
      <c r="C23" s="187"/>
      <c r="D23" s="184"/>
      <c r="E23" s="184"/>
      <c r="F23" s="184"/>
      <c r="G23" s="184"/>
    </row>
    <row r="24" spans="1:7" x14ac:dyDescent="0.2">
      <c r="A24" s="209" t="s">
        <v>318</v>
      </c>
      <c r="B24" s="80" t="s">
        <v>117</v>
      </c>
      <c r="C24" s="181" t="s">
        <v>312</v>
      </c>
      <c r="D24" s="180">
        <f>'Прогнозные отчеты'!D24-'Прогнозные отчеты'!C24</f>
        <v>0</v>
      </c>
      <c r="E24" s="180">
        <f>'Прогнозные отчеты'!E24-'Прогнозные отчеты'!D24</f>
        <v>50</v>
      </c>
      <c r="F24" s="180">
        <f>'Прогнозные отчеты'!F24-'Прогнозные отчеты'!E24</f>
        <v>50</v>
      </c>
      <c r="G24" s="180">
        <f>'Прогнозные отчеты'!G24-'Прогнозные отчеты'!F24</f>
        <v>0</v>
      </c>
    </row>
    <row r="25" spans="1:7" x14ac:dyDescent="0.2">
      <c r="A25" s="209" t="s">
        <v>191</v>
      </c>
      <c r="B25" s="80" t="s">
        <v>117</v>
      </c>
      <c r="C25" s="181" t="s">
        <v>312</v>
      </c>
      <c r="D25" s="180">
        <f>'Прогнозные отчеты'!D25-'Прогнозные отчеты'!C25</f>
        <v>1000</v>
      </c>
      <c r="E25" s="180">
        <f>'Прогнозные отчеты'!E25-'Прогнозные отчеты'!D25</f>
        <v>0</v>
      </c>
      <c r="F25" s="180">
        <f>'Прогнозные отчеты'!F25-'Прогнозные отчеты'!E25</f>
        <v>0</v>
      </c>
      <c r="G25" s="180">
        <f>'Прогнозные отчеты'!G25-'Прогнозные отчеты'!F25</f>
        <v>0</v>
      </c>
    </row>
    <row r="26" spans="1:7" x14ac:dyDescent="0.2">
      <c r="A26" s="209" t="s">
        <v>76</v>
      </c>
      <c r="B26" s="80" t="s">
        <v>117</v>
      </c>
      <c r="C26" s="181" t="s">
        <v>312</v>
      </c>
      <c r="D26" s="180">
        <f>'Прогнозные отчеты'!D26-'Прогнозные отчеты'!C26</f>
        <v>104574.04135002248</v>
      </c>
      <c r="E26" s="180">
        <f>'Прогнозные отчеты'!E26-'Прогнозные отчеты'!D26</f>
        <v>218552.93551221141</v>
      </c>
      <c r="F26" s="180">
        <f>'Прогнозные отчеты'!F26-'Прогнозные отчеты'!E26</f>
        <v>408574.75488008984</v>
      </c>
      <c r="G26" s="180">
        <f>'Прогнозные отчеты'!G26-'Прогнозные отчеты'!F26</f>
        <v>415115.73751696944</v>
      </c>
    </row>
    <row r="27" spans="1:7" s="161" customFormat="1" x14ac:dyDescent="0.2">
      <c r="A27" s="161" t="s">
        <v>239</v>
      </c>
      <c r="B27" s="80" t="s">
        <v>117</v>
      </c>
      <c r="C27" s="212" t="s">
        <v>312</v>
      </c>
      <c r="D27" s="182">
        <f>'Прогнозные отчеты'!D27-'Прогнозные отчеты'!C27</f>
        <v>105574.04135002248</v>
      </c>
      <c r="E27" s="182">
        <f>'Прогнозные отчеты'!E27-'Прогнозные отчеты'!D27</f>
        <v>218602.93551221141</v>
      </c>
      <c r="F27" s="182">
        <f>'Прогнозные отчеты'!F27-'Прогнозные отчеты'!E27</f>
        <v>408624.75488008984</v>
      </c>
      <c r="G27" s="182">
        <f>'Прогнозные отчеты'!G27-'Прогнозные отчеты'!F27</f>
        <v>415115.73751696944</v>
      </c>
    </row>
    <row r="28" spans="1:7" x14ac:dyDescent="0.2">
      <c r="A28" s="158"/>
      <c r="B28" s="158"/>
      <c r="C28" s="187"/>
      <c r="D28" s="184"/>
      <c r="E28" s="184"/>
      <c r="F28" s="184"/>
      <c r="G28" s="184"/>
    </row>
    <row r="29" spans="1:7" x14ac:dyDescent="0.2">
      <c r="A29" s="25" t="s">
        <v>440</v>
      </c>
      <c r="B29" s="158"/>
      <c r="C29" s="187"/>
      <c r="D29" s="184"/>
      <c r="E29" s="184"/>
      <c r="F29" s="184"/>
      <c r="G29" s="184"/>
    </row>
    <row r="30" spans="1:7" x14ac:dyDescent="0.2">
      <c r="A30" s="209" t="s">
        <v>338</v>
      </c>
      <c r="B30" s="80" t="s">
        <v>117</v>
      </c>
      <c r="C30" s="181" t="s">
        <v>312</v>
      </c>
      <c r="D30" s="180">
        <f>'Прогнозные отчеты'!D30-'Прогнозные отчеты'!C30</f>
        <v>-17500</v>
      </c>
      <c r="E30" s="180">
        <f>'Прогнозные отчеты'!E30-'Прогнозные отчеты'!D30</f>
        <v>0</v>
      </c>
      <c r="F30" s="180">
        <f>'Прогнозные отчеты'!F30-'Прогнозные отчеты'!E30</f>
        <v>0</v>
      </c>
      <c r="G30" s="180">
        <f>'Прогнозные отчеты'!G30-'Прогнозные отчеты'!F30</f>
        <v>0</v>
      </c>
    </row>
    <row r="31" spans="1:7" s="161" customFormat="1" x14ac:dyDescent="0.2">
      <c r="A31" s="161" t="s">
        <v>441</v>
      </c>
      <c r="B31" s="80" t="s">
        <v>117</v>
      </c>
      <c r="C31" s="212" t="s">
        <v>312</v>
      </c>
      <c r="D31" s="182">
        <f>'Прогнозные отчеты'!D31-'Прогнозные отчеты'!C31</f>
        <v>-17500</v>
      </c>
      <c r="E31" s="182">
        <f>'Прогнозные отчеты'!E31-'Прогнозные отчеты'!D31</f>
        <v>0</v>
      </c>
      <c r="F31" s="182">
        <f>'Прогнозные отчеты'!F31-'Прогнозные отчеты'!E31</f>
        <v>0</v>
      </c>
      <c r="G31" s="182">
        <f>'Прогнозные отчеты'!G31-'Прогнозные отчеты'!F31</f>
        <v>0</v>
      </c>
    </row>
    <row r="32" spans="1:7" x14ac:dyDescent="0.2">
      <c r="A32" s="186"/>
      <c r="B32" s="80"/>
      <c r="C32" s="187"/>
      <c r="D32" s="184"/>
      <c r="E32" s="184"/>
      <c r="F32" s="184"/>
      <c r="G32" s="184"/>
    </row>
    <row r="33" spans="1:8" x14ac:dyDescent="0.2">
      <c r="A33" s="25" t="s">
        <v>442</v>
      </c>
      <c r="B33" s="80"/>
      <c r="C33" s="187"/>
      <c r="D33" s="184"/>
      <c r="E33" s="184"/>
      <c r="F33" s="184"/>
      <c r="G33" s="184"/>
    </row>
    <row r="34" spans="1:8" x14ac:dyDescent="0.2">
      <c r="A34" s="209" t="s">
        <v>333</v>
      </c>
      <c r="B34" s="80" t="s">
        <v>117</v>
      </c>
      <c r="C34" s="181" t="s">
        <v>312</v>
      </c>
      <c r="D34" s="180">
        <f>'Прогнозные отчеты'!D34-'Прогнозные отчеты'!C34</f>
        <v>0</v>
      </c>
      <c r="E34" s="180">
        <f>'Прогнозные отчеты'!E34-'Прогнозные отчеты'!D34</f>
        <v>0</v>
      </c>
      <c r="F34" s="180">
        <f>'Прогнозные отчеты'!F34-'Прогнозные отчеты'!E34</f>
        <v>0</v>
      </c>
      <c r="G34" s="180">
        <f>'Прогнозные отчеты'!G34-'Прогнозные отчеты'!F34</f>
        <v>0</v>
      </c>
    </row>
    <row r="35" spans="1:8" x14ac:dyDescent="0.2">
      <c r="A35" s="207" t="s">
        <v>317</v>
      </c>
      <c r="B35" s="80" t="s">
        <v>117</v>
      </c>
      <c r="C35" s="181" t="s">
        <v>312</v>
      </c>
      <c r="D35" s="180">
        <f>'Прогнозные отчеты'!D35-'Прогнозные отчеты'!C35</f>
        <v>0</v>
      </c>
      <c r="E35" s="180">
        <f>'Прогнозные отчеты'!E35-'Прогнозные отчеты'!D35</f>
        <v>0</v>
      </c>
      <c r="F35" s="180">
        <f>'Прогнозные отчеты'!F35-'Прогнозные отчеты'!E35</f>
        <v>0</v>
      </c>
      <c r="G35" s="180">
        <f>'Прогнозные отчеты'!G35-'Прогнозные отчеты'!F35</f>
        <v>0</v>
      </c>
    </row>
    <row r="36" spans="1:8" x14ac:dyDescent="0.2">
      <c r="A36" s="207" t="s">
        <v>332</v>
      </c>
      <c r="B36" s="80" t="s">
        <v>117</v>
      </c>
      <c r="C36" s="181" t="s">
        <v>312</v>
      </c>
      <c r="D36" s="180">
        <f>'Прогнозные отчеты'!D36-'Прогнозные отчеты'!C36</f>
        <v>0</v>
      </c>
      <c r="E36" s="180">
        <f>'Прогнозные отчеты'!E36-'Прогнозные отчеты'!D36</f>
        <v>0</v>
      </c>
      <c r="F36" s="180">
        <f>'Прогнозные отчеты'!F36-'Прогнозные отчеты'!E36</f>
        <v>0</v>
      </c>
      <c r="G36" s="180">
        <f>'Прогнозные отчеты'!G36-'Прогнозные отчеты'!F36</f>
        <v>0</v>
      </c>
    </row>
    <row r="37" spans="1:8" x14ac:dyDescent="0.2">
      <c r="A37" s="207" t="s">
        <v>334</v>
      </c>
      <c r="B37" s="80" t="s">
        <v>117</v>
      </c>
      <c r="C37" s="181" t="s">
        <v>312</v>
      </c>
      <c r="D37" s="180">
        <f>'Прогнозные отчеты'!D37-'Прогнозные отчеты'!C37</f>
        <v>0</v>
      </c>
      <c r="E37" s="180">
        <f>'Прогнозные отчеты'!E37-'Прогнозные отчеты'!D37</f>
        <v>0</v>
      </c>
      <c r="F37" s="180">
        <f>'Прогнозные отчеты'!F37-'Прогнозные отчеты'!E37</f>
        <v>0</v>
      </c>
      <c r="G37" s="180">
        <f>'Прогнозные отчеты'!G37-'Прогнозные отчеты'!F37</f>
        <v>0</v>
      </c>
    </row>
    <row r="38" spans="1:8" x14ac:dyDescent="0.2">
      <c r="A38" s="207" t="s">
        <v>424</v>
      </c>
      <c r="B38" s="80" t="s">
        <v>117</v>
      </c>
      <c r="C38" s="181" t="s">
        <v>312</v>
      </c>
      <c r="D38" s="180">
        <f>'Прогнозные отчеты'!D38-'Прогнозные отчеты'!C38</f>
        <v>-4375.0448031231626</v>
      </c>
      <c r="E38" s="180">
        <f>'Прогнозные отчеты'!E38-'Прогнозные отчеты'!D38</f>
        <v>-1.1200780791341458E-2</v>
      </c>
      <c r="F38" s="180">
        <f>'Прогнозные отчеты'!F38-'Прогнозные отчеты'!E38</f>
        <v>-31210.787492793166</v>
      </c>
      <c r="G38" s="180">
        <f>'Прогнозные отчеты'!G38-'Прогнозные отчеты'!F38</f>
        <v>-7802.7108741742813</v>
      </c>
    </row>
    <row r="39" spans="1:8" x14ac:dyDescent="0.2">
      <c r="A39" s="167" t="s">
        <v>442</v>
      </c>
      <c r="B39" s="80" t="s">
        <v>117</v>
      </c>
      <c r="C39" s="212" t="s">
        <v>312</v>
      </c>
      <c r="D39" s="182">
        <f>'Прогнозные отчеты'!D39-'Прогнозные отчеты'!C39</f>
        <v>-4375.0448031231626</v>
      </c>
      <c r="E39" s="182">
        <f>'Прогнозные отчеты'!E39-'Прогнозные отчеты'!D39</f>
        <v>-1.1200780791341458E-2</v>
      </c>
      <c r="F39" s="182">
        <f>'Прогнозные отчеты'!F39-'Прогнозные отчеты'!E39</f>
        <v>-31210.787492793166</v>
      </c>
      <c r="G39" s="182">
        <f>'Прогнозные отчеты'!G39-'Прогнозные отчеты'!F39</f>
        <v>-7802.7108741742813</v>
      </c>
    </row>
    <row r="40" spans="1:8" x14ac:dyDescent="0.2">
      <c r="A40" s="168"/>
      <c r="B40" s="168"/>
      <c r="C40" s="187"/>
      <c r="D40" s="184"/>
      <c r="E40" s="184"/>
      <c r="F40" s="184"/>
      <c r="G40" s="184"/>
    </row>
    <row r="41" spans="1:8" s="188" customFormat="1" x14ac:dyDescent="0.2">
      <c r="A41" s="171" t="s">
        <v>444</v>
      </c>
      <c r="B41" s="80" t="s">
        <v>117</v>
      </c>
      <c r="C41" s="212" t="s">
        <v>312</v>
      </c>
      <c r="D41" s="182">
        <f>'Прогнозные отчеты'!D41-'Прогнозные отчеты'!C41</f>
        <v>83698.996546899318</v>
      </c>
      <c r="E41" s="182">
        <f>'Прогнозные отчеты'!E41-'Прогнозные отчеты'!D41</f>
        <v>218602.9243114306</v>
      </c>
      <c r="F41" s="182">
        <f>'Прогнозные отчеты'!F41-'Прогнозные отчеты'!E41</f>
        <v>377413.96738729667</v>
      </c>
      <c r="G41" s="182">
        <f>'Прогнозные отчеты'!G41-'Прогнозные отчеты'!F41</f>
        <v>407313.02664279507</v>
      </c>
    </row>
    <row r="42" spans="1:8" ht="13.5" customHeight="1" x14ac:dyDescent="0.2">
      <c r="A42" s="168"/>
      <c r="B42" s="168"/>
      <c r="C42" s="187"/>
      <c r="D42" s="184"/>
      <c r="E42" s="184"/>
      <c r="F42" s="184"/>
      <c r="G42" s="184"/>
    </row>
    <row r="43" spans="1:8" x14ac:dyDescent="0.2">
      <c r="C43" s="187"/>
      <c r="D43" s="184"/>
      <c r="E43" s="184"/>
      <c r="F43" s="184"/>
      <c r="G43" s="184"/>
    </row>
    <row r="44" spans="1:8" x14ac:dyDescent="0.2">
      <c r="A44" s="11" t="s">
        <v>451</v>
      </c>
      <c r="B44" s="174" t="s">
        <v>108</v>
      </c>
      <c r="C44" s="3">
        <f>Окружение!D4</f>
        <v>2014</v>
      </c>
      <c r="D44" s="4">
        <f>C44+1</f>
        <v>2015</v>
      </c>
      <c r="E44" s="5">
        <f>D44+1</f>
        <v>2016</v>
      </c>
      <c r="F44" s="6">
        <f>E44+1</f>
        <v>2017</v>
      </c>
      <c r="G44" s="7">
        <f>F44+1</f>
        <v>2018</v>
      </c>
      <c r="H44" s="20"/>
    </row>
    <row r="45" spans="1:8" x14ac:dyDescent="0.2">
      <c r="A45" s="190"/>
      <c r="B45" s="190"/>
      <c r="C45" s="187"/>
      <c r="D45" s="184"/>
      <c r="E45" s="184"/>
      <c r="F45" s="184"/>
      <c r="G45" s="184"/>
    </row>
    <row r="46" spans="1:8" x14ac:dyDescent="0.2">
      <c r="A46" s="191" t="s">
        <v>157</v>
      </c>
      <c r="B46" s="80" t="s">
        <v>117</v>
      </c>
      <c r="C46" s="181" t="s">
        <v>312</v>
      </c>
      <c r="D46" s="180">
        <f>'Прогнозные отчеты'!D49-'Прогнозные отчеты'!C49</f>
        <v>194841.72902087634</v>
      </c>
      <c r="E46" s="180">
        <f>'Прогнозные отчеты'!E49-'Прогнозные отчеты'!D49</f>
        <v>312160.85934470798</v>
      </c>
      <c r="F46" s="180">
        <f>'Прогнозные отчеты'!F49-'Прогнозные отчеты'!E49</f>
        <v>351865.57037359825</v>
      </c>
      <c r="G46" s="180">
        <f>'Прогнозные отчеты'!G49-'Прогнозные отчеты'!F49</f>
        <v>164032.32002709247</v>
      </c>
    </row>
    <row r="47" spans="1:8" x14ac:dyDescent="0.2">
      <c r="A47" s="191"/>
      <c r="B47" s="80"/>
      <c r="C47" s="187"/>
      <c r="D47" s="184"/>
      <c r="E47" s="184"/>
      <c r="F47" s="184"/>
      <c r="G47" s="184"/>
    </row>
    <row r="48" spans="1:8" x14ac:dyDescent="0.2">
      <c r="A48" s="191" t="s">
        <v>446</v>
      </c>
      <c r="B48" s="80" t="s">
        <v>117</v>
      </c>
      <c r="C48" s="181" t="s">
        <v>312</v>
      </c>
      <c r="D48" s="180">
        <f>'Прогнозные отчеты'!D51-'Прогнозные отчеты'!C51</f>
        <v>-113697.34846082103</v>
      </c>
      <c r="E48" s="180">
        <f>'Прогнозные отчеты'!E51-'Прогнозные отчеты'!D51</f>
        <v>-158891.74182083047</v>
      </c>
      <c r="F48" s="180">
        <f>'Прогнозные отчеты'!F51-'Прогнозные отчеты'!E51</f>
        <v>-138968.62819266046</v>
      </c>
      <c r="G48" s="180">
        <f>'Прогнозные отчеты'!G51-'Прогнозные отчеты'!F51</f>
        <v>-128568.6898034403</v>
      </c>
    </row>
    <row r="49" spans="1:7" x14ac:dyDescent="0.2">
      <c r="A49" s="220" t="s">
        <v>447</v>
      </c>
      <c r="B49" s="80" t="s">
        <v>117</v>
      </c>
      <c r="C49" s="181" t="s">
        <v>312</v>
      </c>
      <c r="D49" s="181">
        <f>'Прогнозные отчеты'!D52-'Прогнозные отчеты'!C52</f>
        <v>-104902.66901558894</v>
      </c>
      <c r="E49" s="181">
        <f>'Прогнозные отчеты'!E52-'Прогнозные отчеты'!D52</f>
        <v>-157681.94761005358</v>
      </c>
      <c r="F49" s="181">
        <f>'Прогнозные отчеты'!F52-'Прогнозные отчеты'!E52</f>
        <v>-137850.0437411528</v>
      </c>
      <c r="G49" s="181">
        <f>'Прогнозные отчеты'!G52-'Прогнозные отчеты'!F52</f>
        <v>-127548.62505755405</v>
      </c>
    </row>
    <row r="50" spans="1:7" x14ac:dyDescent="0.2">
      <c r="A50" s="220" t="s">
        <v>257</v>
      </c>
      <c r="B50" s="80" t="s">
        <v>117</v>
      </c>
      <c r="C50" s="181" t="s">
        <v>312</v>
      </c>
      <c r="D50" s="181">
        <f>'Прогнозные отчеты'!D53-'Прогнозные отчеты'!C53</f>
        <v>-5546.2499857617204</v>
      </c>
      <c r="E50" s="181">
        <f>'Прогнозные отчеты'!E53-'Прогнозные отчеты'!D53</f>
        <v>-688.02767332270923</v>
      </c>
      <c r="F50" s="181">
        <f>'Прогнозные отчеты'!F53-'Прогнозные отчеты'!E53</f>
        <v>-593.02678157723858</v>
      </c>
      <c r="G50" s="181">
        <f>'Прогнозные отчеты'!G53-'Прогнозные отчеты'!F53</f>
        <v>-581.84732280885328</v>
      </c>
    </row>
    <row r="51" spans="1:7" ht="12" customHeight="1" x14ac:dyDescent="0.2">
      <c r="A51" s="220" t="s">
        <v>448</v>
      </c>
      <c r="B51" s="80" t="s">
        <v>117</v>
      </c>
      <c r="C51" s="181" t="s">
        <v>312</v>
      </c>
      <c r="D51" s="181">
        <f>'Прогнозные отчеты'!D54-'Прогнозные отчеты'!C54</f>
        <v>-1885.7249951589847</v>
      </c>
      <c r="E51" s="181">
        <f>'Прогнозные отчеты'!E54-'Прогнозные отчеты'!D54</f>
        <v>-233.92940892972138</v>
      </c>
      <c r="F51" s="181">
        <f>'Прогнозные отчеты'!F54-'Прогнозные отчеты'!E54</f>
        <v>-201.62910573626141</v>
      </c>
      <c r="G51" s="181">
        <f>'Прогнозные отчеты'!G54-'Прогнозные отчеты'!F54</f>
        <v>-197.8280897550103</v>
      </c>
    </row>
    <row r="52" spans="1:7" x14ac:dyDescent="0.2">
      <c r="A52" s="220" t="s">
        <v>381</v>
      </c>
      <c r="B52" s="80" t="s">
        <v>117</v>
      </c>
      <c r="C52" s="181" t="s">
        <v>312</v>
      </c>
      <c r="D52" s="181">
        <f>'Прогнозные отчеты'!D55-'Прогнозные отчеты'!C55</f>
        <v>-1362.7044643113895</v>
      </c>
      <c r="E52" s="181">
        <f>'Прогнозные отчеты'!E55-'Прогнозные отчеты'!D55</f>
        <v>-284.25758306987427</v>
      </c>
      <c r="F52" s="181">
        <f>'Прогнозные отчеты'!F55-'Прогнозные отчеты'!E55</f>
        <v>-245.00810964878929</v>
      </c>
      <c r="G52" s="181">
        <f>'Прогнозные отчеты'!G55-'Прогнозные отчеты'!F55</f>
        <v>-240.38933332227498</v>
      </c>
    </row>
    <row r="53" spans="1:7" x14ac:dyDescent="0.2">
      <c r="A53" s="220" t="s">
        <v>154</v>
      </c>
      <c r="B53" s="80" t="s">
        <v>117</v>
      </c>
      <c r="C53" s="181" t="s">
        <v>312</v>
      </c>
      <c r="D53" s="181">
        <f>'Прогнозные отчеты'!D56-'Прогнозные отчеты'!C56</f>
        <v>0</v>
      </c>
      <c r="E53" s="181">
        <f>'Прогнозные отчеты'!E56-'Прогнозные отчеты'!D56</f>
        <v>-3.5795454545454546</v>
      </c>
      <c r="F53" s="181">
        <f>'Прогнозные отчеты'!F56-'Прогнозные отчеты'!E56</f>
        <v>-78.920454545454533</v>
      </c>
      <c r="G53" s="181">
        <f>'Прогнозные отчеты'!G56-'Прогнозные отчеты'!F56</f>
        <v>0</v>
      </c>
    </row>
    <row r="54" spans="1:7" x14ac:dyDescent="0.2">
      <c r="A54" s="192"/>
      <c r="B54" s="80"/>
      <c r="C54" s="187"/>
      <c r="D54" s="184"/>
      <c r="E54" s="184"/>
      <c r="F54" s="184"/>
      <c r="G54" s="184"/>
    </row>
    <row r="55" spans="1:7" s="161" customFormat="1" x14ac:dyDescent="0.2">
      <c r="A55" s="193" t="s">
        <v>20</v>
      </c>
      <c r="B55" s="80" t="s">
        <v>117</v>
      </c>
      <c r="C55" s="212" t="s">
        <v>312</v>
      </c>
      <c r="D55" s="182">
        <f>'Прогнозные отчеты'!D58-'Прогнозные отчеты'!C58</f>
        <v>81144.380560055346</v>
      </c>
      <c r="E55" s="182">
        <f>'Прогнозные отчеты'!E58-'Прогнозные отчеты'!D58</f>
        <v>153269.1175238775</v>
      </c>
      <c r="F55" s="182">
        <f>'Прогнозные отчеты'!F58-'Прогнозные отчеты'!E58</f>
        <v>212896.9421809378</v>
      </c>
      <c r="G55" s="182">
        <f>'Прогнозные отчеты'!G58-'Прогнозные отчеты'!F58</f>
        <v>35463.630223652173</v>
      </c>
    </row>
    <row r="56" spans="1:7" x14ac:dyDescent="0.2">
      <c r="A56" s="192"/>
      <c r="B56" s="80"/>
      <c r="C56" s="187"/>
      <c r="D56" s="184"/>
      <c r="E56" s="184"/>
      <c r="F56" s="184"/>
      <c r="G56" s="184"/>
    </row>
    <row r="57" spans="1:7" s="197" customFormat="1" x14ac:dyDescent="0.2">
      <c r="A57" s="210" t="s">
        <v>383</v>
      </c>
      <c r="B57" s="80" t="s">
        <v>117</v>
      </c>
      <c r="C57" s="181" t="s">
        <v>312</v>
      </c>
      <c r="D57" s="180">
        <f>'Прогнозные отчеты'!D60-'Прогнозные отчеты'!C60</f>
        <v>-3048.2701234560664</v>
      </c>
      <c r="E57" s="180">
        <f>'Прогнозные отчеты'!E60-'Прогнозные отчеты'!D60</f>
        <v>-531.89831668409442</v>
      </c>
      <c r="F57" s="180">
        <f>'Прогнозные отчеты'!F60-'Прогнозные отчеты'!E60</f>
        <v>-458.45531960394328</v>
      </c>
      <c r="G57" s="180">
        <f>'Прогнозные отчеты'!G60-'Прогнозные отчеты'!F60</f>
        <v>-449.81273801761563</v>
      </c>
    </row>
    <row r="58" spans="1:7" s="197" customFormat="1" x14ac:dyDescent="0.2">
      <c r="A58" s="210" t="s">
        <v>145</v>
      </c>
      <c r="B58" s="80" t="s">
        <v>117</v>
      </c>
      <c r="C58" s="181" t="s">
        <v>312</v>
      </c>
      <c r="D58" s="180">
        <f>'Прогнозные отчеты'!D61-'Прогнозные отчеты'!C61</f>
        <v>-1880.79127637485</v>
      </c>
      <c r="E58" s="180">
        <f>'Прогнозные отчеты'!E61-'Прогнозные отчеты'!D61</f>
        <v>-2482.5736635483227</v>
      </c>
      <c r="F58" s="180">
        <f>'Прогнозные отчеты'!F61-'Прогнозные отчеты'!E61</f>
        <v>-1200.363219667508</v>
      </c>
      <c r="G58" s="180">
        <f>'Прогнозные отчеты'!G61-'Прогнозные отчеты'!F61</f>
        <v>-429.45282589873932</v>
      </c>
    </row>
    <row r="59" spans="1:7" x14ac:dyDescent="0.2">
      <c r="A59" s="192"/>
      <c r="B59" s="80"/>
      <c r="C59" s="187"/>
      <c r="D59" s="184"/>
      <c r="E59" s="184"/>
      <c r="F59" s="184"/>
      <c r="G59" s="184"/>
    </row>
    <row r="60" spans="1:7" s="161" customFormat="1" x14ac:dyDescent="0.2">
      <c r="A60" s="198" t="s">
        <v>23</v>
      </c>
      <c r="B60" s="80" t="s">
        <v>117</v>
      </c>
      <c r="C60" s="212" t="s">
        <v>312</v>
      </c>
      <c r="D60" s="182">
        <f>'Прогнозные отчеты'!D63-'Прогнозные отчеты'!C63</f>
        <v>76215.319160224419</v>
      </c>
      <c r="E60" s="182">
        <f>'Прогнозные отчеты'!E63-'Прогнозные отчеты'!D63</f>
        <v>150254.64554364508</v>
      </c>
      <c r="F60" s="182">
        <f>'Прогнозные отчеты'!F63-'Прогнозные отчеты'!E63</f>
        <v>211238.12364166632</v>
      </c>
      <c r="G60" s="182">
        <f>'Прогнозные отчеты'!G63-'Прогнозные отчеты'!F63</f>
        <v>34584.364659735875</v>
      </c>
    </row>
    <row r="61" spans="1:7" x14ac:dyDescent="0.2">
      <c r="A61" s="192"/>
      <c r="B61" s="80"/>
      <c r="C61" s="187"/>
      <c r="D61" s="184"/>
      <c r="E61" s="184"/>
      <c r="F61" s="184"/>
      <c r="G61" s="184"/>
    </row>
    <row r="62" spans="1:7" s="197" customFormat="1" ht="12" customHeight="1" x14ac:dyDescent="0.2">
      <c r="A62" s="210" t="s">
        <v>449</v>
      </c>
      <c r="B62" s="80" t="s">
        <v>117</v>
      </c>
      <c r="C62" s="181" t="s">
        <v>312</v>
      </c>
      <c r="D62" s="180">
        <f>'Прогнозные отчеты'!D65-'Прогнозные отчеты'!C65</f>
        <v>0</v>
      </c>
      <c r="E62" s="180">
        <f>'Прогнозные отчеты'!E65-'Прогнозные отчеты'!D65</f>
        <v>-2.8278409090909089</v>
      </c>
      <c r="F62" s="180">
        <f>'Прогнозные отчеты'!F65-'Прогнозные отчеты'!E65</f>
        <v>-111.94943181818181</v>
      </c>
      <c r="G62" s="180">
        <f>'Прогнозные отчеты'!G65-'Прогнозные отчеты'!F65</f>
        <v>-7.0363636363636317</v>
      </c>
    </row>
    <row r="63" spans="1:7" s="197" customFormat="1" x14ac:dyDescent="0.2">
      <c r="A63" s="210" t="s">
        <v>450</v>
      </c>
      <c r="B63" s="80" t="s">
        <v>117</v>
      </c>
      <c r="C63" s="181" t="s">
        <v>312</v>
      </c>
      <c r="D63" s="180">
        <f>'Прогнозные отчеты'!D66-'Прогнозные отчеты'!C66</f>
        <v>7778.2</v>
      </c>
      <c r="E63" s="180">
        <f>'Прогнозные отчеты'!E66-'Прогнозные отчеты'!D66</f>
        <v>-7778.2</v>
      </c>
      <c r="F63" s="180">
        <f>'Прогнозные отчеты'!F66-'Прогнозные отчеты'!E66</f>
        <v>26401.1</v>
      </c>
      <c r="G63" s="180">
        <f>'Прогнозные отчеты'!G66-'Прогнозные отчеты'!F66</f>
        <v>-26401.1</v>
      </c>
    </row>
    <row r="64" spans="1:7" x14ac:dyDescent="0.2">
      <c r="A64" s="192"/>
      <c r="B64" s="80"/>
      <c r="C64" s="187"/>
      <c r="D64" s="184"/>
      <c r="E64" s="184"/>
      <c r="F64" s="184"/>
      <c r="G64" s="184"/>
    </row>
    <row r="65" spans="1:7" s="161" customFormat="1" x14ac:dyDescent="0.2">
      <c r="A65" s="198" t="s">
        <v>28</v>
      </c>
      <c r="B65" s="80" t="s">
        <v>117</v>
      </c>
      <c r="C65" s="212" t="s">
        <v>312</v>
      </c>
      <c r="D65" s="182">
        <f>'Прогнозные отчеты'!D68-'Прогнозные отчеты'!C68</f>
        <v>83993.519160224416</v>
      </c>
      <c r="E65" s="182">
        <f>'Прогнозные отчеты'!E68-'Прогнозные отчеты'!D68</f>
        <v>142473.617702736</v>
      </c>
      <c r="F65" s="182">
        <f>'Прогнозные отчеты'!F68-'Прогнозные отчеты'!E68</f>
        <v>237527.27420984808</v>
      </c>
      <c r="G65" s="182">
        <f>'Прогнозные отчеты'!G68-'Прогнозные отчеты'!F68</f>
        <v>8176.2282960995217</v>
      </c>
    </row>
    <row r="66" spans="1:7" x14ac:dyDescent="0.2">
      <c r="A66" s="192"/>
      <c r="B66" s="80"/>
      <c r="C66" s="187"/>
      <c r="D66" s="184"/>
      <c r="E66" s="184"/>
      <c r="F66" s="184"/>
      <c r="G66" s="184"/>
    </row>
    <row r="67" spans="1:7" x14ac:dyDescent="0.2">
      <c r="A67" s="210" t="s">
        <v>128</v>
      </c>
      <c r="B67" s="80" t="s">
        <v>117</v>
      </c>
      <c r="C67" s="181" t="s">
        <v>312</v>
      </c>
      <c r="D67" s="180">
        <f>'Прогнозные отчеты'!D70-'Прогнозные отчеты'!C70</f>
        <v>-16958.850087539384</v>
      </c>
      <c r="E67" s="180">
        <f>'Прогнозные отчеты'!E70-'Прогнозные отчеты'!D70</f>
        <v>-28494.723540547231</v>
      </c>
      <c r="F67" s="180">
        <f>'Прогнозные отчеты'!F70-'Прогнозные отчеты'!E70</f>
        <v>-47505.454841969622</v>
      </c>
      <c r="G67" s="180">
        <f>'Прогнозные отчеты'!G70-'Прогнозные отчеты'!F70</f>
        <v>-1635.245659219916</v>
      </c>
    </row>
    <row r="68" spans="1:7" s="197" customFormat="1" x14ac:dyDescent="0.2">
      <c r="A68" s="196"/>
      <c r="B68" s="92"/>
      <c r="C68" s="187"/>
      <c r="D68" s="184"/>
      <c r="E68" s="184"/>
      <c r="F68" s="184"/>
      <c r="G68" s="184"/>
    </row>
    <row r="69" spans="1:7" s="161" customFormat="1" x14ac:dyDescent="0.2">
      <c r="A69" s="193" t="s">
        <v>30</v>
      </c>
      <c r="B69" s="80" t="s">
        <v>117</v>
      </c>
      <c r="C69" s="212" t="s">
        <v>312</v>
      </c>
      <c r="D69" s="182">
        <f>'Прогнозные отчеты'!D72-'Прогнозные отчеты'!C72</f>
        <v>67034.669072685036</v>
      </c>
      <c r="E69" s="182">
        <f>'Прогнозные отчеты'!E72-'Прогнозные отчеты'!D72</f>
        <v>113978.89416218878</v>
      </c>
      <c r="F69" s="182">
        <f>'Прогнозные отчеты'!F72-'Прогнозные отчеты'!E72</f>
        <v>190021.81936787849</v>
      </c>
      <c r="G69" s="182">
        <f>'Прогнозные отчеты'!G72-'Прогнозные отчеты'!F72</f>
        <v>6540.9826368795475</v>
      </c>
    </row>
    <row r="70" spans="1:7" x14ac:dyDescent="0.2">
      <c r="A70" s="191"/>
      <c r="B70" s="80"/>
      <c r="C70" s="187"/>
      <c r="D70" s="184"/>
      <c r="E70" s="184"/>
      <c r="F70" s="184"/>
      <c r="G70" s="184"/>
    </row>
    <row r="71" spans="1:7" x14ac:dyDescent="0.2">
      <c r="A71" s="166"/>
      <c r="B71" s="166"/>
      <c r="C71" s="170"/>
      <c r="D71" s="170"/>
      <c r="E71" s="170"/>
      <c r="F71" s="170"/>
      <c r="G71" s="170"/>
    </row>
    <row r="72" spans="1:7" x14ac:dyDescent="0.2">
      <c r="A72" s="166"/>
      <c r="B72" s="166"/>
      <c r="C72" s="170"/>
      <c r="D72" s="170"/>
      <c r="E72" s="170"/>
      <c r="F72" s="170"/>
      <c r="G72" s="170"/>
    </row>
    <row r="73" spans="1:7" x14ac:dyDescent="0.2">
      <c r="A73" s="166"/>
      <c r="B73" s="166"/>
      <c r="C73" s="170"/>
      <c r="D73" s="170"/>
      <c r="E73" s="170"/>
      <c r="F73" s="170"/>
      <c r="G73" s="170"/>
    </row>
    <row r="74" spans="1:7" x14ac:dyDescent="0.2">
      <c r="A74" s="166"/>
      <c r="B74" s="166"/>
      <c r="C74" s="170"/>
      <c r="D74" s="170"/>
      <c r="E74" s="170"/>
      <c r="F74" s="170"/>
      <c r="G74" s="170"/>
    </row>
    <row r="75" spans="1:7" x14ac:dyDescent="0.2">
      <c r="A75" s="166"/>
      <c r="B75" s="166"/>
      <c r="C75" s="170"/>
      <c r="D75" s="170"/>
      <c r="E75" s="170"/>
      <c r="F75" s="170"/>
      <c r="G75" s="170"/>
    </row>
    <row r="76" spans="1:7" x14ac:dyDescent="0.2">
      <c r="A76" s="166"/>
      <c r="B76" s="166"/>
      <c r="C76" s="170"/>
      <c r="D76" s="170"/>
      <c r="E76" s="170"/>
      <c r="F76" s="170"/>
      <c r="G76" s="170"/>
    </row>
    <row r="77" spans="1:7" x14ac:dyDescent="0.2">
      <c r="C77" s="170"/>
      <c r="D77" s="170"/>
      <c r="E77" s="170"/>
      <c r="F77" s="170"/>
      <c r="G77" s="170"/>
    </row>
    <row r="78" spans="1:7" x14ac:dyDescent="0.2">
      <c r="C78" s="170"/>
      <c r="D78" s="170"/>
      <c r="E78" s="170"/>
      <c r="F78" s="170"/>
      <c r="G78" s="170"/>
    </row>
    <row r="79" spans="1:7" x14ac:dyDescent="0.2">
      <c r="C79" s="170"/>
      <c r="D79" s="170"/>
      <c r="E79" s="170"/>
      <c r="F79" s="170"/>
      <c r="G79" s="170"/>
    </row>
    <row r="80" spans="1:7" x14ac:dyDescent="0.2">
      <c r="C80" s="170"/>
      <c r="D80" s="170"/>
      <c r="E80" s="170"/>
      <c r="F80" s="170"/>
      <c r="G80" s="170"/>
    </row>
    <row r="81" spans="3:7" x14ac:dyDescent="0.2">
      <c r="C81" s="170"/>
      <c r="D81" s="170"/>
      <c r="E81" s="170"/>
      <c r="F81" s="170"/>
      <c r="G81" s="170"/>
    </row>
    <row r="82" spans="3:7" x14ac:dyDescent="0.2">
      <c r="C82" s="170"/>
      <c r="D82" s="170"/>
      <c r="E82" s="170"/>
      <c r="F82" s="170"/>
      <c r="G82" s="170"/>
    </row>
    <row r="83" spans="3:7" x14ac:dyDescent="0.2">
      <c r="C83" s="170"/>
      <c r="D83" s="170"/>
      <c r="E83" s="170"/>
      <c r="F83" s="170"/>
      <c r="G83" s="170"/>
    </row>
    <row r="84" spans="3:7" x14ac:dyDescent="0.2">
      <c r="C84" s="170"/>
      <c r="D84" s="170"/>
      <c r="E84" s="170"/>
      <c r="F84" s="170"/>
      <c r="G84" s="170"/>
    </row>
    <row r="85" spans="3:7" x14ac:dyDescent="0.2">
      <c r="C85" s="170"/>
      <c r="D85" s="170"/>
      <c r="E85" s="170"/>
      <c r="F85" s="170"/>
      <c r="G85" s="170"/>
    </row>
    <row r="86" spans="3:7" x14ac:dyDescent="0.2">
      <c r="C86" s="170"/>
      <c r="D86" s="170"/>
      <c r="E86" s="170"/>
      <c r="F86" s="170"/>
      <c r="G86" s="170"/>
    </row>
    <row r="87" spans="3:7" x14ac:dyDescent="0.2">
      <c r="C87" s="170"/>
      <c r="D87" s="170"/>
      <c r="E87" s="170"/>
      <c r="F87" s="170"/>
      <c r="G87" s="170"/>
    </row>
    <row r="88" spans="3:7" x14ac:dyDescent="0.2">
      <c r="C88" s="170"/>
      <c r="D88" s="170"/>
      <c r="E88" s="170"/>
      <c r="F88" s="170"/>
      <c r="G88" s="170"/>
    </row>
    <row r="89" spans="3:7" x14ac:dyDescent="0.2">
      <c r="C89" s="170"/>
      <c r="D89" s="170"/>
      <c r="E89" s="170"/>
      <c r="F89" s="170"/>
      <c r="G89" s="170"/>
    </row>
    <row r="90" spans="3:7" x14ac:dyDescent="0.2">
      <c r="C90" s="170"/>
      <c r="D90" s="170"/>
      <c r="E90" s="170"/>
      <c r="F90" s="170"/>
      <c r="G90" s="170"/>
    </row>
    <row r="91" spans="3:7" x14ac:dyDescent="0.2">
      <c r="C91" s="170"/>
      <c r="D91" s="170"/>
      <c r="E91" s="170"/>
      <c r="F91" s="170"/>
      <c r="G91" s="170"/>
    </row>
    <row r="92" spans="3:7" x14ac:dyDescent="0.2">
      <c r="C92" s="170"/>
      <c r="D92" s="170"/>
      <c r="E92" s="170"/>
      <c r="F92" s="170"/>
      <c r="G92" s="170"/>
    </row>
    <row r="93" spans="3:7" x14ac:dyDescent="0.2">
      <c r="C93" s="170"/>
      <c r="D93" s="170"/>
      <c r="E93" s="170"/>
      <c r="F93" s="170"/>
      <c r="G93" s="170"/>
    </row>
    <row r="94" spans="3:7" x14ac:dyDescent="0.2">
      <c r="C94" s="170"/>
      <c r="D94" s="170"/>
      <c r="E94" s="170"/>
      <c r="F94" s="170"/>
      <c r="G94" s="170"/>
    </row>
    <row r="95" spans="3:7" x14ac:dyDescent="0.2">
      <c r="C95" s="170"/>
      <c r="D95" s="170"/>
      <c r="E95" s="170"/>
      <c r="F95" s="170"/>
      <c r="G95" s="170"/>
    </row>
    <row r="96" spans="3:7" x14ac:dyDescent="0.2">
      <c r="C96" s="170"/>
      <c r="D96" s="170"/>
      <c r="E96" s="170"/>
      <c r="F96" s="170"/>
      <c r="G96" s="170"/>
    </row>
    <row r="97" spans="3:7" x14ac:dyDescent="0.2">
      <c r="C97" s="170"/>
      <c r="D97" s="170"/>
      <c r="E97" s="170"/>
      <c r="F97" s="170"/>
      <c r="G97" s="170"/>
    </row>
    <row r="98" spans="3:7" x14ac:dyDescent="0.2">
      <c r="C98" s="170"/>
      <c r="D98" s="170"/>
      <c r="E98" s="170"/>
      <c r="F98" s="170"/>
      <c r="G98" s="170"/>
    </row>
    <row r="99" spans="3:7" x14ac:dyDescent="0.2">
      <c r="C99" s="170"/>
      <c r="D99" s="170"/>
      <c r="E99" s="170"/>
      <c r="F99" s="170"/>
      <c r="G99" s="170"/>
    </row>
    <row r="100" spans="3:7" x14ac:dyDescent="0.2">
      <c r="C100" s="170"/>
      <c r="D100" s="170"/>
      <c r="E100" s="170"/>
      <c r="F100" s="170"/>
      <c r="G100" s="170"/>
    </row>
    <row r="101" spans="3:7" x14ac:dyDescent="0.2">
      <c r="C101" s="170"/>
      <c r="D101" s="170"/>
      <c r="E101" s="170"/>
      <c r="F101" s="170"/>
      <c r="G101" s="170"/>
    </row>
  </sheetData>
  <hyperlinks>
    <hyperlink ref="A1" r:id="rId1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9"/>
  <sheetViews>
    <sheetView zoomScale="85" zoomScaleNormal="85" workbookViewId="0"/>
  </sheetViews>
  <sheetFormatPr defaultRowHeight="12.75" x14ac:dyDescent="0.2"/>
  <cols>
    <col min="1" max="1" width="47.85546875" style="162" customWidth="1"/>
    <col min="2" max="2" width="5.7109375" style="162" customWidth="1"/>
    <col min="3" max="3" width="10.42578125" style="158" bestFit="1" customWidth="1"/>
    <col min="4" max="6" width="11.7109375" style="158" bestFit="1" customWidth="1"/>
    <col min="7" max="7" width="12.28515625" style="158" bestFit="1" customWidth="1"/>
    <col min="8" max="16384" width="9.140625" style="158"/>
  </cols>
  <sheetData>
    <row r="1" spans="1:8" ht="18" x14ac:dyDescent="0.25">
      <c r="A1" s="319" t="s">
        <v>573</v>
      </c>
    </row>
    <row r="2" spans="1:8" x14ac:dyDescent="0.2">
      <c r="A2" s="11" t="s">
        <v>454</v>
      </c>
      <c r="B2" s="11"/>
      <c r="C2" s="3">
        <f>Окружение!D4</f>
        <v>2014</v>
      </c>
      <c r="D2" s="4">
        <f>C2+1</f>
        <v>2015</v>
      </c>
      <c r="E2" s="5">
        <f>D2+1</f>
        <v>2016</v>
      </c>
      <c r="F2" s="6">
        <f>E2+1</f>
        <v>2017</v>
      </c>
      <c r="G2" s="7">
        <f>F2+1</f>
        <v>2018</v>
      </c>
    </row>
    <row r="3" spans="1:8" s="159" customFormat="1" x14ac:dyDescent="0.2">
      <c r="A3" s="165"/>
      <c r="B3" s="165"/>
    </row>
    <row r="4" spans="1:8" x14ac:dyDescent="0.2">
      <c r="A4" s="185" t="s">
        <v>214</v>
      </c>
      <c r="B4" s="185"/>
      <c r="C4" s="62"/>
      <c r="D4" s="62"/>
      <c r="E4" s="62"/>
      <c r="F4" s="63"/>
      <c r="G4" s="62"/>
      <c r="H4" s="170"/>
    </row>
    <row r="5" spans="1:8" x14ac:dyDescent="0.2">
      <c r="A5" s="25" t="s">
        <v>435</v>
      </c>
      <c r="B5" s="25"/>
    </row>
    <row r="6" spans="1:8" x14ac:dyDescent="0.2">
      <c r="A6" s="207" t="s">
        <v>316</v>
      </c>
      <c r="B6" s="166"/>
      <c r="C6" s="181" t="s">
        <v>312</v>
      </c>
      <c r="D6" s="204">
        <f>IF('Прогнозные отчеты'!C6=0,"-",('Прогнозные отчеты'!D6-'Прогнозные отчеты'!C6)/'Прогнозные отчеты'!C6)</f>
        <v>-1.2658227848101417E-2</v>
      </c>
      <c r="E6" s="204">
        <f>IF('Прогнозные отчеты'!D6=0,"-",('Прогнозные отчеты'!E6-'Прогнозные отчеты'!D6)/'Прогнозные отчеты'!D6)</f>
        <v>-1.2820512820512765E-2</v>
      </c>
      <c r="F6" s="204">
        <f>IF('Прогнозные отчеты'!E6=0,"-",('Прогнозные отчеты'!F6-'Прогнозные отчеты'!E6)/'Прогнозные отчеты'!E6)</f>
        <v>-1.2987012987012929E-2</v>
      </c>
      <c r="G6" s="204">
        <f>IF('Прогнозные отчеты'!F6=0,"-",('Прогнозные отчеты'!G6-'Прогнозные отчеты'!F6)/'Прогнозные отчеты'!F6)</f>
        <v>-1.3157894736842046E-2</v>
      </c>
    </row>
    <row r="7" spans="1:8" x14ac:dyDescent="0.2">
      <c r="A7" s="207" t="s">
        <v>315</v>
      </c>
      <c r="B7" s="166"/>
      <c r="C7" s="181" t="s">
        <v>312</v>
      </c>
      <c r="D7" s="204" t="str">
        <f>IF('Прогнозные отчеты'!C7=0,"-",('Прогнозные отчеты'!D7-'Прогнозные отчеты'!C7)/'Прогнозные отчеты'!C7)</f>
        <v>-</v>
      </c>
      <c r="E7" s="204" t="str">
        <f>IF('Прогнозные отчеты'!D7=0,"-",('Прогнозные отчеты'!E7-'Прогнозные отчеты'!D7)/'Прогнозные отчеты'!D7)</f>
        <v>-</v>
      </c>
      <c r="F7" s="204">
        <f>IF('Прогнозные отчеты'!E7=0,"-",('Прогнозные отчеты'!F7-'Прогнозные отчеты'!E7)/'Прогнозные отчеты'!E7)</f>
        <v>4.5304400241109102</v>
      </c>
      <c r="G7" s="204">
        <f>IF('Прогнозные отчеты'!F7=0,"-",('Прогнозные отчеты'!G7-'Прогнозные отчеты'!F7)/'Прогнозные отчеты'!F7)</f>
        <v>-5.2752043596730254E-2</v>
      </c>
    </row>
    <row r="8" spans="1:8" x14ac:dyDescent="0.2">
      <c r="A8" s="207" t="s">
        <v>219</v>
      </c>
      <c r="B8" s="166"/>
      <c r="C8" s="181" t="s">
        <v>312</v>
      </c>
      <c r="D8" s="204">
        <f>IF('Прогнозные отчеты'!C8=0,"-",('Прогнозные отчеты'!D8-'Прогнозные отчеты'!C8)/'Прогнозные отчеты'!C8)</f>
        <v>1.5715622076707203</v>
      </c>
      <c r="E8" s="204">
        <f>IF('Прогнозные отчеты'!D8=0,"-",('Прогнозные отчеты'!E8-'Прогнозные отчеты'!D8)/'Прогнозные отчеты'!D8)</f>
        <v>9.130592942888309E-2</v>
      </c>
      <c r="F8" s="204">
        <f>IF('Прогнозные отчеты'!E8=0,"-",('Прогнозные отчеты'!F8-'Прогнозные отчеты'!E8)/'Прогнозные отчеты'!E8)</f>
        <v>-1</v>
      </c>
      <c r="G8" s="204" t="str">
        <f>IF('Прогнозные отчеты'!F8=0,"-",('Прогнозные отчеты'!G8-'Прогнозные отчеты'!F8)/'Прогнозные отчеты'!F8)</f>
        <v>-</v>
      </c>
    </row>
    <row r="9" spans="1:8" x14ac:dyDescent="0.2">
      <c r="A9" s="171" t="s">
        <v>436</v>
      </c>
      <c r="B9" s="171"/>
      <c r="C9" s="182" t="s">
        <v>312</v>
      </c>
      <c r="D9" s="205">
        <f>IF('Прогнозные отчеты'!C9=0,"-",('Прогнозные отчеты'!D9-'Прогнозные отчеты'!C9)/'Прогнозные отчеты'!C9)</f>
        <v>1.5120920345129421</v>
      </c>
      <c r="E9" s="205">
        <f>IF('Прогнозные отчеты'!D9=0,"-",('Прогнозные отчеты'!E9-'Прогнозные отчеты'!D9)/'Прогнозные отчеты'!D9)</f>
        <v>0.33751468450709837</v>
      </c>
      <c r="F9" s="205">
        <f>IF('Прогнозные отчеты'!E9=0,"-",('Прогнозные отчеты'!F9-'Прогнозные отчеты'!E9)/'Прогнозные отчеты'!E9)</f>
        <v>3.5140083961056348E-2</v>
      </c>
      <c r="G9" s="205">
        <f>IF('Прогнозные отчеты'!F9=0,"-",('Прогнозные отчеты'!G9-'Прогнозные отчеты'!F9)/'Прогнозные отчеты'!F9)</f>
        <v>-5.2340924289381627E-2</v>
      </c>
    </row>
    <row r="10" spans="1:8" x14ac:dyDescent="0.2">
      <c r="A10" s="169"/>
      <c r="B10" s="169"/>
      <c r="C10" s="183"/>
      <c r="D10" s="183"/>
      <c r="E10" s="183"/>
      <c r="F10" s="183"/>
      <c r="G10" s="183"/>
    </row>
    <row r="11" spans="1:8" x14ac:dyDescent="0.2">
      <c r="A11" s="25" t="s">
        <v>220</v>
      </c>
      <c r="B11" s="25"/>
      <c r="C11" s="183"/>
      <c r="D11" s="183"/>
      <c r="E11" s="183"/>
      <c r="F11" s="183"/>
      <c r="G11" s="183"/>
    </row>
    <row r="12" spans="1:8" x14ac:dyDescent="0.2">
      <c r="A12" s="207" t="s">
        <v>437</v>
      </c>
      <c r="B12" s="166"/>
      <c r="C12" s="181" t="s">
        <v>312</v>
      </c>
      <c r="D12" s="204">
        <f>IF('Прогнозные отчеты'!C12=0,"-",('Прогнозные отчеты'!D12-'Прогнозные отчеты'!C12)/'Прогнозные отчеты'!C12)</f>
        <v>4.309529048883304</v>
      </c>
      <c r="E12" s="204">
        <f>IF('Прогнозные отчеты'!D12=0,"-",('Прогнозные отчеты'!E12-'Прогнозные отчеты'!D12)/'Прогнозные отчеты'!D12)</f>
        <v>0.64479146908610163</v>
      </c>
      <c r="F12" s="204">
        <f>IF('Прогнозные отчеты'!E12=0,"-",('Прогнозные отчеты'!F12-'Прогнозные отчеты'!E12)/'Прогнозные отчеты'!E12)</f>
        <v>0.37135507197572259</v>
      </c>
      <c r="G12" s="204">
        <f>IF('Прогнозные отчеты'!F12=0,"-",('Прогнозные отчеты'!G12-'Прогнозные отчеты'!F12)/'Прогнозные отчеты'!F12)</f>
        <v>0.27094055554326496</v>
      </c>
    </row>
    <row r="13" spans="1:8" x14ac:dyDescent="0.2">
      <c r="A13" s="208" t="s">
        <v>330</v>
      </c>
      <c r="B13" s="178"/>
      <c r="C13" s="181" t="s">
        <v>312</v>
      </c>
      <c r="D13" s="204" t="str">
        <f>IF('Прогнозные отчеты'!C13=0,"-",('Прогнозные отчеты'!D13-'Прогнозные отчеты'!C13)/'Прогнозные отчеты'!C13)</f>
        <v>-</v>
      </c>
      <c r="E13" s="204">
        <f>IF('Прогнозные отчеты'!D13=0,"-",('Прогнозные отчеты'!E13-'Прогнозные отчеты'!D13)/'Прогнозные отчеты'!D13)</f>
        <v>3.4532619047619053</v>
      </c>
      <c r="F13" s="204">
        <f>IF('Прогнозные отчеты'!E13=0,"-",('Прогнозные отчеты'!F13-'Прогнозные отчеты'!E13)/'Прогнозные отчеты'!E13)</f>
        <v>0.82448285633323981</v>
      </c>
      <c r="G13" s="204">
        <f>IF('Прогнозные отчеты'!F13=0,"-",('Прогнозные отчеты'!G13-'Прогнозные отчеты'!F13)/'Прогнозные отчеты'!F13)</f>
        <v>0.16027397260274015</v>
      </c>
    </row>
    <row r="14" spans="1:8" x14ac:dyDescent="0.2">
      <c r="A14" s="207" t="s">
        <v>329</v>
      </c>
      <c r="B14" s="166"/>
      <c r="C14" s="181" t="s">
        <v>312</v>
      </c>
      <c r="D14" s="204">
        <f>IF('Прогнозные отчеты'!C14=0,"-",('Прогнозные отчеты'!D14-'Прогнозные отчеты'!C14)/'Прогнозные отчеты'!C14)</f>
        <v>1.7901303528450574</v>
      </c>
      <c r="E14" s="204">
        <f>IF('Прогнозные отчеты'!D14=0,"-",('Прогнозные отчеты'!E14-'Прогнозные отчеты'!D14)/'Прогнозные отчеты'!D14)</f>
        <v>-0.26936655837399898</v>
      </c>
      <c r="F14" s="204">
        <f>IF('Прогнозные отчеты'!E14=0,"-",('Прогнозные отчеты'!F14-'Прогнозные отчеты'!E14)/'Прогнозные отчеты'!E14)</f>
        <v>0.35049846857263056</v>
      </c>
      <c r="G14" s="204">
        <f>IF('Прогнозные отчеты'!F14=0,"-",('Прогнозные отчеты'!G14-'Прогнозные отчеты'!F14)/'Прогнозные отчеты'!F14)</f>
        <v>0.26136221666555176</v>
      </c>
    </row>
    <row r="15" spans="1:8" x14ac:dyDescent="0.2">
      <c r="A15" s="207" t="s">
        <v>314</v>
      </c>
      <c r="B15" s="166"/>
      <c r="C15" s="181" t="s">
        <v>312</v>
      </c>
      <c r="D15" s="204" t="str">
        <f>IF('Прогнозные отчеты'!C15=0,"-",('Прогнозные отчеты'!D15-'Прогнозные отчеты'!C15)/'Прогнозные отчеты'!C15)</f>
        <v>-</v>
      </c>
      <c r="E15" s="204" t="str">
        <f>IF('Прогнозные отчеты'!D15=0,"-",('Прогнозные отчеты'!E15-'Прогнозные отчеты'!D15)/'Прогнозные отчеты'!D15)</f>
        <v>-</v>
      </c>
      <c r="F15" s="204" t="str">
        <f>IF('Прогнозные отчеты'!E15=0,"-",('Прогнозные отчеты'!F15-'Прогнозные отчеты'!E15)/'Прогнозные отчеты'!E15)</f>
        <v>-</v>
      </c>
      <c r="G15" s="204" t="str">
        <f>IF('Прогнозные отчеты'!F15=0,"-",('Прогнозные отчеты'!G15-'Прогнозные отчеты'!F15)/'Прогнозные отчеты'!F15)</f>
        <v>-</v>
      </c>
    </row>
    <row r="16" spans="1:8" x14ac:dyDescent="0.2">
      <c r="A16" s="207" t="s">
        <v>313</v>
      </c>
      <c r="B16" s="166"/>
      <c r="C16" s="181" t="s">
        <v>312</v>
      </c>
      <c r="D16" s="204">
        <f>IF('Прогнозные отчеты'!C16=0,"-",('Прогнозные отчеты'!D16-'Прогнозные отчеты'!C16)/'Прогнозные отчеты'!C16)</f>
        <v>0.4249626080454344</v>
      </c>
      <c r="E16" s="204">
        <f>IF('Прогнозные отчеты'!D16=0,"-",('Прогнозные отчеты'!E16-'Прогнозные отчеты'!D16)/'Прогнозные отчеты'!D16)</f>
        <v>1.9282812106259419</v>
      </c>
      <c r="F16" s="204">
        <f>IF('Прогнозные отчеты'!E16=0,"-",('Прогнозные отчеты'!F16-'Прогнозные отчеты'!E16)/'Прогнозные отчеты'!E16)</f>
        <v>1.406256831539151</v>
      </c>
      <c r="G16" s="204">
        <f>IF('Прогнозные отчеты'!F16=0,"-",('Прогнозные отчеты'!G16-'Прогнозные отчеты'!F16)/'Прогнозные отчеты'!F16)</f>
        <v>0.7748583959628631</v>
      </c>
    </row>
    <row r="17" spans="1:7" x14ac:dyDescent="0.2">
      <c r="A17" s="171" t="s">
        <v>438</v>
      </c>
      <c r="B17" s="171"/>
      <c r="C17" s="182" t="s">
        <v>312</v>
      </c>
      <c r="D17" s="205">
        <f>IF('Прогнозные отчеты'!C17=0,"-",('Прогнозные отчеты'!D17-'Прогнозные отчеты'!C17)/'Прогнозные отчеты'!C17)</f>
        <v>1.3805412188169857</v>
      </c>
      <c r="E17" s="205">
        <f>IF('Прогнозные отчеты'!D17=0,"-",('Прогнозные отчеты'!E17-'Прогнозные отчеты'!D17)/'Прогнозные отчеты'!D17)</f>
        <v>1.521448486428735</v>
      </c>
      <c r="F17" s="205">
        <f>IF('Прогнозные отчеты'!E17=0,"-",('Прогнозные отчеты'!F17-'Прогнозные отчеты'!E17)/'Прогнозные отчеты'!E17)</f>
        <v>1.045536602680059</v>
      </c>
      <c r="G17" s="205">
        <f>IF('Прогнозные отчеты'!F17=0,"-",('Прогнозные отчеты'!G17-'Прогнозные отчеты'!F17)/'Прогнозные отчеты'!F17)</f>
        <v>0.55181339848104249</v>
      </c>
    </row>
    <row r="18" spans="1:7" x14ac:dyDescent="0.2">
      <c r="A18" s="168"/>
      <c r="B18" s="168"/>
      <c r="C18" s="206"/>
      <c r="D18" s="184"/>
      <c r="E18" s="184"/>
      <c r="F18" s="184"/>
      <c r="G18" s="184"/>
    </row>
    <row r="19" spans="1:7" x14ac:dyDescent="0.2">
      <c r="A19" s="160" t="s">
        <v>443</v>
      </c>
      <c r="B19" s="160"/>
      <c r="C19" s="182" t="s">
        <v>312</v>
      </c>
      <c r="D19" s="205">
        <f>IF('Прогнозные отчеты'!C19=0,"-",('Прогнозные отчеты'!D19-'Прогнозные отчеты'!C19)/'Прогнозные отчеты'!C19)</f>
        <v>1.3815278330152516</v>
      </c>
      <c r="E19" s="205">
        <f>IF('Прогнозные отчеты'!D19=0,"-",('Прогнозные отчеты'!E19-'Прогнозные отчеты'!D19)/'Прогнозные отчеты'!D19)</f>
        <v>1.512082336170762</v>
      </c>
      <c r="F19" s="205">
        <f>IF('Прогнозные отчеты'!E19=0,"-",('Прогнозные отчеты'!F19-'Прогнозные отчеты'!E19)/'Прогнозные отчеты'!E19)</f>
        <v>1.0412807142822218</v>
      </c>
      <c r="G19" s="205">
        <f>IF('Прогнозные отчеты'!F19=0,"-",('Прогнозные отчеты'!G19-'Прогнозные отчеты'!F19)/'Прогнозные отчеты'!F19)</f>
        <v>0.55052294405735425</v>
      </c>
    </row>
    <row r="20" spans="1:7" x14ac:dyDescent="0.2">
      <c r="A20" s="158"/>
      <c r="B20" s="158"/>
    </row>
    <row r="21" spans="1:7" x14ac:dyDescent="0.2">
      <c r="A21" s="185" t="s">
        <v>222</v>
      </c>
      <c r="B21" s="185"/>
      <c r="C21" s="62"/>
      <c r="D21" s="62"/>
      <c r="E21" s="62"/>
      <c r="F21" s="63"/>
      <c r="G21" s="62"/>
    </row>
    <row r="22" spans="1:7" x14ac:dyDescent="0.2">
      <c r="A22" s="25" t="s">
        <v>200</v>
      </c>
      <c r="B22" s="25"/>
    </row>
    <row r="23" spans="1:7" x14ac:dyDescent="0.2">
      <c r="A23" s="209" t="s">
        <v>318</v>
      </c>
      <c r="B23" s="158"/>
      <c r="C23" s="181" t="s">
        <v>312</v>
      </c>
      <c r="D23" s="204">
        <f>IF('Прогнозные отчеты'!C24=0,"-",('Прогнозные отчеты'!D24-'Прогнозные отчеты'!C24)/'Прогнозные отчеты'!C24)</f>
        <v>0</v>
      </c>
      <c r="E23" s="204">
        <f>IF('Прогнозные отчеты'!D24=0,"-",('Прогнозные отчеты'!E24-'Прогнозные отчеты'!D24)/'Прогнозные отчеты'!D24)</f>
        <v>0.29411764705882354</v>
      </c>
      <c r="F23" s="204">
        <f>IF('Прогнозные отчеты'!E24=0,"-",('Прогнозные отчеты'!F24-'Прогнозные отчеты'!E24)/'Прогнозные отчеты'!E24)</f>
        <v>0.22727272727272727</v>
      </c>
      <c r="G23" s="204">
        <f>IF('Прогнозные отчеты'!F24=0,"-",('Прогнозные отчеты'!G24-'Прогнозные отчеты'!F24)/'Прогнозные отчеты'!F24)</f>
        <v>0</v>
      </c>
    </row>
    <row r="24" spans="1:7" x14ac:dyDescent="0.2">
      <c r="A24" s="209" t="s">
        <v>191</v>
      </c>
      <c r="B24" s="158"/>
      <c r="C24" s="181" t="s">
        <v>312</v>
      </c>
      <c r="D24" s="204">
        <f>IF('Прогнозные отчеты'!C25=0,"-",('Прогнозные отчеты'!D25-'Прогнозные отчеты'!C25)/'Прогнозные отчеты'!C25)</f>
        <v>1</v>
      </c>
      <c r="E24" s="204">
        <f>IF('Прогнозные отчеты'!D25=0,"-",('Прогнозные отчеты'!E25-'Прогнозные отчеты'!D25)/'Прогнозные отчеты'!D25)</f>
        <v>0</v>
      </c>
      <c r="F24" s="204">
        <f>IF('Прогнозные отчеты'!E25=0,"-",('Прогнозные отчеты'!F25-'Прогнозные отчеты'!E25)/'Прогнозные отчеты'!E25)</f>
        <v>0</v>
      </c>
      <c r="G24" s="204">
        <f>IF('Прогнозные отчеты'!F25=0,"-",('Прогнозные отчеты'!G25-'Прогнозные отчеты'!F25)/'Прогнозные отчеты'!F25)</f>
        <v>0</v>
      </c>
    </row>
    <row r="25" spans="1:7" x14ac:dyDescent="0.2">
      <c r="A25" s="209" t="s">
        <v>76</v>
      </c>
      <c r="B25" s="158"/>
      <c r="C25" s="181" t="s">
        <v>312</v>
      </c>
      <c r="D25" s="204">
        <f>IF('Прогнозные отчеты'!C26=0,"-",('Прогнозные отчеты'!D26-'Прогнозные отчеты'!C26)/'Прогнозные отчеты'!C26)</f>
        <v>2.7857163028043983</v>
      </c>
      <c r="E25" s="204">
        <f>IF('Прогнозные отчеты'!D26=0,"-",('Прогнозные отчеты'!E26-'Прогнозные отчеты'!D26)/'Прогнозные отчеты'!D26)</f>
        <v>1.5378768965840615</v>
      </c>
      <c r="F25" s="204">
        <f>IF('Прогнозные отчеты'!E26=0,"-",('Прогнозные отчеты'!F26-'Прогнозные отчеты'!E26)/'Прогнозные отчеты'!E26)</f>
        <v>1.132833034894472</v>
      </c>
      <c r="G25" s="204">
        <f>IF('Прогнозные отчеты'!F26=0,"-",('Прогнозные отчеты'!G26-'Прогнозные отчеты'!F26)/'Прогнозные отчеты'!F26)</f>
        <v>0.53964320854383185</v>
      </c>
    </row>
    <row r="26" spans="1:7" s="161" customFormat="1" x14ac:dyDescent="0.2">
      <c r="A26" s="161" t="s">
        <v>239</v>
      </c>
      <c r="C26" s="212" t="s">
        <v>312</v>
      </c>
      <c r="D26" s="205">
        <f>IF('Прогнозные отчеты'!C27=0,"-",('Прогнозные отчеты'!D27-'Прогнозные отчеты'!C27)/'Прогнозные отчеты'!C27)</f>
        <v>2.7273509008006087</v>
      </c>
      <c r="E26" s="205">
        <f>IF('Прогнозные отчеты'!D27=0,"-",('Прогнозные отчеты'!E27-'Прогнозные отчеты'!D27)/'Прогнозные отчеты'!D27)</f>
        <v>1.5150940084963342</v>
      </c>
      <c r="F26" s="205">
        <f>IF('Прогнозные отчеты'!E27=0,"-",('Прогнозные отчеты'!F27-'Прогнозные отчеты'!E27)/'Прогнозные отчеты'!E27)</f>
        <v>1.1260405795064141</v>
      </c>
      <c r="G26" s="205">
        <f>IF('Прогнозные отчеты'!F27=0,"-",('Прогнозные отчеты'!G27-'Прогнозные отчеты'!F27)/'Прогнозные отчеты'!F27)</f>
        <v>0.53805542830708319</v>
      </c>
    </row>
    <row r="27" spans="1:7" x14ac:dyDescent="0.2">
      <c r="A27" s="158"/>
      <c r="B27" s="158"/>
    </row>
    <row r="28" spans="1:7" x14ac:dyDescent="0.2">
      <c r="A28" s="25" t="s">
        <v>440</v>
      </c>
      <c r="B28" s="25"/>
    </row>
    <row r="29" spans="1:7" x14ac:dyDescent="0.2">
      <c r="A29" s="209" t="s">
        <v>338</v>
      </c>
      <c r="B29" s="158"/>
      <c r="C29" s="181" t="s">
        <v>312</v>
      </c>
      <c r="D29" s="204">
        <f>IF('Прогнозные отчеты'!C30=0,"-",('Прогнозные отчеты'!D30-'Прогнозные отчеты'!C30)/'Прогнозные отчеты'!C30)</f>
        <v>-1</v>
      </c>
      <c r="E29" s="204" t="str">
        <f>IF('Прогнозные отчеты'!D30=0,"-",('Прогнозные отчеты'!E30-'Прогнозные отчеты'!D30)/'Прогнозные отчеты'!D30)</f>
        <v>-</v>
      </c>
      <c r="F29" s="204" t="str">
        <f>IF('Прогнозные отчеты'!E30=0,"-",('Прогнозные отчеты'!F30-'Прогнозные отчеты'!E30)/'Прогнозные отчеты'!E30)</f>
        <v>-</v>
      </c>
      <c r="G29" s="204" t="str">
        <f>IF('Прогнозные отчеты'!F30=0,"-",('Прогнозные отчеты'!G30-'Прогнозные отчеты'!F30)/'Прогнозные отчеты'!F30)</f>
        <v>-</v>
      </c>
    </row>
    <row r="30" spans="1:7" s="161" customFormat="1" x14ac:dyDescent="0.2">
      <c r="A30" s="161" t="s">
        <v>441</v>
      </c>
      <c r="C30" s="182" t="s">
        <v>312</v>
      </c>
      <c r="D30" s="205">
        <f>IF('Прогнозные отчеты'!C31=0,"-",('Прогнозные отчеты'!D31-'Прогнозные отчеты'!C31)/'Прогнозные отчеты'!C31)</f>
        <v>-1</v>
      </c>
      <c r="E30" s="205" t="str">
        <f>IF('Прогнозные отчеты'!D31=0,"-",('Прогнозные отчеты'!E31-'Прогнозные отчеты'!D31)/'Прогнозные отчеты'!D31)</f>
        <v>-</v>
      </c>
      <c r="F30" s="205" t="str">
        <f>IF('Прогнозные отчеты'!E31=0,"-",('Прогнозные отчеты'!F31-'Прогнозные отчеты'!E31)/'Прогнозные отчеты'!E31)</f>
        <v>-</v>
      </c>
      <c r="G30" s="205" t="str">
        <f>IF('Прогнозные отчеты'!F31=0,"-",('Прогнозные отчеты'!G31-'Прогнозные отчеты'!F31)/'Прогнозные отчеты'!F31)</f>
        <v>-</v>
      </c>
    </row>
    <row r="31" spans="1:7" x14ac:dyDescent="0.2">
      <c r="A31" s="186"/>
      <c r="B31" s="186"/>
      <c r="C31" s="187"/>
      <c r="D31" s="187"/>
      <c r="E31" s="187"/>
      <c r="F31" s="187"/>
      <c r="G31" s="187"/>
    </row>
    <row r="32" spans="1:7" x14ac:dyDescent="0.2">
      <c r="A32" s="25" t="s">
        <v>442</v>
      </c>
      <c r="B32" s="25"/>
      <c r="C32" s="187"/>
      <c r="D32" s="187"/>
      <c r="E32" s="187"/>
      <c r="F32" s="187"/>
      <c r="G32" s="187"/>
    </row>
    <row r="33" spans="1:8" x14ac:dyDescent="0.2">
      <c r="A33" s="209" t="s">
        <v>333</v>
      </c>
      <c r="B33" s="158"/>
      <c r="C33" s="181" t="s">
        <v>312</v>
      </c>
      <c r="D33" s="204" t="str">
        <f>IF('Прогнозные отчеты'!C34=0,"-",('Прогнозные отчеты'!D34-'Прогнозные отчеты'!C34)/'Прогнозные отчеты'!C34)</f>
        <v>-</v>
      </c>
      <c r="E33" s="204" t="str">
        <f>IF('Прогнозные отчеты'!D34=0,"-",('Прогнозные отчеты'!E34-'Прогнозные отчеты'!D34)/'Прогнозные отчеты'!D34)</f>
        <v>-</v>
      </c>
      <c r="F33" s="204" t="str">
        <f>IF('Прогнозные отчеты'!E34=0,"-",('Прогнозные отчеты'!F34-'Прогнозные отчеты'!E34)/'Прогнозные отчеты'!E34)</f>
        <v>-</v>
      </c>
      <c r="G33" s="204" t="str">
        <f>IF('Прогнозные отчеты'!F34=0,"-",('Прогнозные отчеты'!G34-'Прогнозные отчеты'!F34)/'Прогнозные отчеты'!F34)</f>
        <v>-</v>
      </c>
    </row>
    <row r="34" spans="1:8" x14ac:dyDescent="0.2">
      <c r="A34" s="207" t="s">
        <v>317</v>
      </c>
      <c r="B34" s="166"/>
      <c r="C34" s="181" t="s">
        <v>312</v>
      </c>
      <c r="D34" s="204" t="str">
        <f>IF('Прогнозные отчеты'!C35=0,"-",('Прогнозные отчеты'!D35-'Прогнозные отчеты'!C35)/'Прогнозные отчеты'!C35)</f>
        <v>-</v>
      </c>
      <c r="E34" s="204" t="str">
        <f>IF('Прогнозные отчеты'!D35=0,"-",('Прогнозные отчеты'!E35-'Прогнозные отчеты'!D35)/'Прогнозные отчеты'!D35)</f>
        <v>-</v>
      </c>
      <c r="F34" s="204" t="str">
        <f>IF('Прогнозные отчеты'!E35=0,"-",('Прогнозные отчеты'!F35-'Прогнозные отчеты'!E35)/'Прогнозные отчеты'!E35)</f>
        <v>-</v>
      </c>
      <c r="G34" s="204" t="str">
        <f>IF('Прогнозные отчеты'!F35=0,"-",('Прогнозные отчеты'!G35-'Прогнозные отчеты'!F35)/'Прогнозные отчеты'!F35)</f>
        <v>-</v>
      </c>
    </row>
    <row r="35" spans="1:8" x14ac:dyDescent="0.2">
      <c r="A35" s="207" t="s">
        <v>332</v>
      </c>
      <c r="B35" s="166"/>
      <c r="C35" s="181" t="s">
        <v>312</v>
      </c>
      <c r="D35" s="204" t="str">
        <f>IF('Прогнозные отчеты'!C36=0,"-",('Прогнозные отчеты'!D36-'Прогнозные отчеты'!C36)/'Прогнозные отчеты'!C36)</f>
        <v>-</v>
      </c>
      <c r="E35" s="204" t="str">
        <f>IF('Прогнозные отчеты'!D36=0,"-",('Прогнозные отчеты'!E36-'Прогнозные отчеты'!D36)/'Прогнозные отчеты'!D36)</f>
        <v>-</v>
      </c>
      <c r="F35" s="204" t="str">
        <f>IF('Прогнозные отчеты'!E36=0,"-",('Прогнозные отчеты'!F36-'Прогнозные отчеты'!E36)/'Прогнозные отчеты'!E36)</f>
        <v>-</v>
      </c>
      <c r="G35" s="204" t="str">
        <f>IF('Прогнозные отчеты'!F36=0,"-",('Прогнозные отчеты'!G36-'Прогнозные отчеты'!F36)/'Прогнозные отчеты'!F36)</f>
        <v>-</v>
      </c>
    </row>
    <row r="36" spans="1:8" x14ac:dyDescent="0.2">
      <c r="A36" s="207" t="s">
        <v>424</v>
      </c>
      <c r="B36" s="166"/>
      <c r="C36" s="181" t="s">
        <v>312</v>
      </c>
      <c r="D36" s="204" t="str">
        <f>IF('Прогнозные отчеты'!C37=0,"-",('Прогнозные отчеты'!D37-'Прогнозные отчеты'!C37)/'Прогнозные отчеты'!C37)</f>
        <v>-</v>
      </c>
      <c r="E36" s="204" t="str">
        <f>IF('Прогнозные отчеты'!D37=0,"-",('Прогнозные отчеты'!E37-'Прогнозные отчеты'!D37)/'Прогнозные отчеты'!D37)</f>
        <v>-</v>
      </c>
      <c r="F36" s="204" t="str">
        <f>IF('Прогнозные отчеты'!E37=0,"-",('Прогнозные отчеты'!F37-'Прогнозные отчеты'!E37)/'Прогнозные отчеты'!E37)</f>
        <v>-</v>
      </c>
      <c r="G36" s="204" t="str">
        <f>IF('Прогнозные отчеты'!F37=0,"-",('Прогнозные отчеты'!G37-'Прогнозные отчеты'!F37)/'Прогнозные отчеты'!F37)</f>
        <v>-</v>
      </c>
    </row>
    <row r="37" spans="1:8" x14ac:dyDescent="0.2">
      <c r="A37" s="207" t="s">
        <v>334</v>
      </c>
      <c r="B37" s="166"/>
      <c r="C37" s="181" t="s">
        <v>312</v>
      </c>
      <c r="D37" s="204">
        <f>IF('Прогнозные отчеты'!C38=0,"-",('Прогнозные отчеты'!D38-'Прогнозные отчеты'!C38)/'Прогнозные отчеты'!C38)</f>
        <v>-1.0000102407138665</v>
      </c>
      <c r="E37" s="204">
        <f>IF('Прогнозные отчеты'!D38=0,"-",('Прогнозные отчеты'!E38-'Прогнозные отчеты'!D38)/'Прогнозные отчеты'!D38)</f>
        <v>0.25</v>
      </c>
      <c r="F37" s="204">
        <f>IF('Прогнозные отчеты'!E38=0,"-",('Прогнозные отчеты'!F38-'Прогнозные отчеты'!E38)/'Прогнозные отчеты'!E38)</f>
        <v>557296.63983639516</v>
      </c>
      <c r="G37" s="204">
        <f>IF('Прогнозные отчеты'!F38=0,"-",('Прогнозные отчеты'!G38-'Прогнозные отчеты'!F38)/'Прогнозные отчеты'!F38)</f>
        <v>0.25000000000000006</v>
      </c>
    </row>
    <row r="38" spans="1:8" x14ac:dyDescent="0.2">
      <c r="A38" s="167" t="s">
        <v>442</v>
      </c>
      <c r="B38" s="167"/>
      <c r="C38" s="182" t="s">
        <v>312</v>
      </c>
      <c r="D38" s="205">
        <f>IF('Прогнозные отчеты'!C39=0,"-",('Прогнозные отчеты'!D39-'Прогнозные отчеты'!C39)/'Прогнозные отчеты'!C39)</f>
        <v>-1.0000102407138665</v>
      </c>
      <c r="E38" s="205">
        <f>IF('Прогнозные отчеты'!D39=0,"-",('Прогнозные отчеты'!E39-'Прогнозные отчеты'!D39)/'Прогнозные отчеты'!D39)</f>
        <v>0.25</v>
      </c>
      <c r="F38" s="205">
        <f>IF('Прогнозные отчеты'!E39=0,"-",('Прогнозные отчеты'!F39-'Прогнозные отчеты'!E39)/'Прогнозные отчеты'!E39)</f>
        <v>557296.63983639516</v>
      </c>
      <c r="G38" s="205">
        <f>IF('Прогнозные отчеты'!F39=0,"-",('Прогнозные отчеты'!G39-'Прогнозные отчеты'!F39)/'Прогнозные отчеты'!F39)</f>
        <v>0.25000000000000006</v>
      </c>
    </row>
    <row r="39" spans="1:8" x14ac:dyDescent="0.2">
      <c r="A39" s="211"/>
      <c r="B39" s="168"/>
      <c r="C39" s="176"/>
      <c r="D39" s="177"/>
      <c r="E39" s="177"/>
      <c r="F39" s="177"/>
      <c r="G39" s="177"/>
    </row>
    <row r="40" spans="1:8" s="188" customFormat="1" x14ac:dyDescent="0.2">
      <c r="A40" s="171" t="s">
        <v>444</v>
      </c>
      <c r="B40" s="171"/>
      <c r="C40" s="212" t="s">
        <v>312</v>
      </c>
      <c r="D40" s="205">
        <f>IF('Прогнозные отчеты'!C41=0,"-",('Прогнозные отчеты'!D41-'Прогнозные отчеты'!C41)/'Прогнозные отчеты'!C41)</f>
        <v>1.3815278330152514</v>
      </c>
      <c r="E40" s="205">
        <f>IF('Прогнозные отчеты'!D41=0,"-",('Прогнозные отчеты'!E41-'Прогнозные отчеты'!D41)/'Прогнозные отчеты'!D41)</f>
        <v>1.5150944013355305</v>
      </c>
      <c r="F40" s="205">
        <f>IF('Прогнозные отчеты'!E41=0,"-",('Прогнозные отчеты'!F41-'Прогнозные отчеты'!E41)/'Прогнозные отчеты'!E41)</f>
        <v>1.040033681421519</v>
      </c>
      <c r="G40" s="205">
        <f>IF('Прогнозные отчеты'!F41=0,"-",('Прогнозные отчеты'!G41-'Прогнозные отчеты'!F41)/'Прогнозные отчеты'!F41)</f>
        <v>0.55019976131719905</v>
      </c>
    </row>
    <row r="41" spans="1:8" x14ac:dyDescent="0.2">
      <c r="A41" s="168"/>
      <c r="B41" s="168"/>
      <c r="C41" s="176"/>
      <c r="D41" s="177"/>
      <c r="E41" s="177"/>
      <c r="F41" s="177"/>
      <c r="G41" s="177"/>
    </row>
    <row r="43" spans="1:8" x14ac:dyDescent="0.2">
      <c r="A43" s="11" t="s">
        <v>414</v>
      </c>
      <c r="B43" s="11"/>
      <c r="C43" s="3">
        <f>Окружение!D4</f>
        <v>2014</v>
      </c>
      <c r="D43" s="4">
        <f>C43+1</f>
        <v>2015</v>
      </c>
      <c r="E43" s="5">
        <f>D43+1</f>
        <v>2016</v>
      </c>
      <c r="F43" s="6">
        <f>E43+1</f>
        <v>2017</v>
      </c>
      <c r="G43" s="7">
        <f>F43+1</f>
        <v>2018</v>
      </c>
      <c r="H43" s="20"/>
    </row>
    <row r="44" spans="1:8" x14ac:dyDescent="0.2">
      <c r="A44" s="190"/>
      <c r="B44" s="190"/>
      <c r="C44" s="170"/>
      <c r="D44" s="170"/>
      <c r="E44" s="170"/>
      <c r="F44" s="170"/>
      <c r="G44" s="170"/>
    </row>
    <row r="45" spans="1:8" x14ac:dyDescent="0.2">
      <c r="A45" s="191" t="s">
        <v>157</v>
      </c>
      <c r="B45" s="191"/>
      <c r="C45" s="181" t="s">
        <v>312</v>
      </c>
      <c r="D45" s="204">
        <f>IF('Прогнозные отчеты'!C49=0,"-",('Прогнозные отчеты'!D49-'Прогнозные отчеты'!C49)/'Прогнозные отчеты'!C49)</f>
        <v>2.0217435260255057</v>
      </c>
      <c r="E45" s="204">
        <f>IF('Прогнозные отчеты'!D49=0,"-",('Прогнозные отчеты'!E49-'Прогнозные отчеты'!D49)/'Прогнозные отчеты'!D49)</f>
        <v>1.0719263172135616</v>
      </c>
      <c r="F45" s="204">
        <f>IF('Прогнозные отчеты'!E49=0,"-",('Прогнозные отчеты'!F49-'Прогнозные отчеты'!E49)/'Прогнозные отчеты'!E49)</f>
        <v>0.58316164571049967</v>
      </c>
      <c r="G45" s="204">
        <f>IF('Прогнозные отчеты'!F49=0,"-",('Прогнозные отчеты'!G49-'Прогнозные отчеты'!F49)/'Прогнозные отчеты'!F49)</f>
        <v>0.17171820762322196</v>
      </c>
    </row>
    <row r="46" spans="1:8" x14ac:dyDescent="0.2">
      <c r="A46" s="191"/>
      <c r="B46" s="191"/>
      <c r="C46" s="195"/>
      <c r="D46" s="195"/>
      <c r="E46" s="195"/>
      <c r="F46" s="195"/>
      <c r="G46" s="195"/>
    </row>
    <row r="47" spans="1:8" x14ac:dyDescent="0.2">
      <c r="A47" s="191" t="s">
        <v>446</v>
      </c>
      <c r="B47" s="193"/>
      <c r="C47" s="181" t="s">
        <v>312</v>
      </c>
      <c r="D47" s="204">
        <f>IF('Прогнозные отчеты'!C51=0,"-",('Прогнозные отчеты'!D51-'Прогнозные отчеты'!C51)/'Прогнозные отчеты'!C51)</f>
        <v>2.7287717116300101</v>
      </c>
      <c r="E47" s="204">
        <f>IF('Прогнозные отчеты'!D51=0,"-",('Прогнозные отчеты'!E51-'Прогнозные отчеты'!D51)/'Прогнозные отчеты'!D51)</f>
        <v>1.0227097548875717</v>
      </c>
      <c r="F47" s="204">
        <f>IF('Прогнозные отчеты'!E51=0,"-",('Прогнозные отчеты'!F51-'Прогнозные отчеты'!E51)/'Прогнозные отчеты'!E51)</f>
        <v>0.442215818824025</v>
      </c>
      <c r="G47" s="204">
        <f>IF('Прогнозные отчеты'!F51=0,"-",('Прогнозные отчеты'!G51-'Прогнозные отчеты'!F51)/'Прогнозные отчеты'!F51)</f>
        <v>0.28367591668261782</v>
      </c>
    </row>
    <row r="48" spans="1:8" x14ac:dyDescent="0.2">
      <c r="A48" s="220" t="s">
        <v>447</v>
      </c>
      <c r="B48" s="191"/>
      <c r="C48" s="181" t="s">
        <v>312</v>
      </c>
      <c r="D48" s="221">
        <f>IF('Прогнозные отчеты'!C52=0,"-",('Прогнозные отчеты'!D52-'Прогнозные отчеты'!C52)/'Прогнозные отчеты'!C52)</f>
        <v>3.2472404692119539</v>
      </c>
      <c r="E48" s="221">
        <f>IF('Прогнозные отчеты'!D52=0,"-",('Прогнозные отчеты'!E52-'Прогнозные отчеты'!D52)/'Прогнозные отчеты'!D52)</f>
        <v>1.1492196358366873</v>
      </c>
      <c r="F48" s="221">
        <f>IF('Прогнозные отчеты'!E52=0,"-",('Прогнозные отчеты'!F52-'Прогнозные отчеты'!E52)/'Прогнозные отчеты'!E52)</f>
        <v>0.4674629235446382</v>
      </c>
      <c r="G48" s="221">
        <f>IF('Прогнозные отчеты'!F52=0,"-",('Прогнозные отчеты'!G52-'Прогнозные отчеты'!F52)/'Прогнозные отчеты'!F52)</f>
        <v>0.2947466696387957</v>
      </c>
    </row>
    <row r="49" spans="1:7" x14ac:dyDescent="0.2">
      <c r="A49" s="220" t="s">
        <v>257</v>
      </c>
      <c r="B49" s="191"/>
      <c r="C49" s="181" t="s">
        <v>312</v>
      </c>
      <c r="D49" s="221">
        <f>IF('Прогнозные отчеты'!C53=0,"-",('Прогнозные отчеты'!D53-'Прогнозные отчеты'!C53)/'Прогнозные отчеты'!C53)</f>
        <v>1.1531523485261814</v>
      </c>
      <c r="E49" s="221">
        <f>IF('Прогнозные отчеты'!D53=0,"-",('Прогнозные отчеты'!E53-'Прогнозные отчеты'!D53)/'Прогнозные отчеты'!D53)</f>
        <v>6.6438282017412212E-2</v>
      </c>
      <c r="F49" s="221">
        <f>IF('Прогнозные отчеты'!E53=0,"-",('Прогнозные отчеты'!F53-'Прогнозные отчеты'!E53)/'Прогнозные отчеты'!E53)</f>
        <v>5.3697129194189779E-2</v>
      </c>
      <c r="G49" s="221">
        <f>IF('Прогнозные отчеты'!F53=0,"-",('Прогнозные отчеты'!G53-'Прогнозные отчеты'!F53)/'Прогнозные отчеты'!F53)</f>
        <v>5.0000000000000211E-2</v>
      </c>
    </row>
    <row r="50" spans="1:7" ht="12" customHeight="1" x14ac:dyDescent="0.2">
      <c r="A50" s="220" t="s">
        <v>448</v>
      </c>
      <c r="B50" s="191"/>
      <c r="C50" s="181" t="s">
        <v>312</v>
      </c>
      <c r="D50" s="221">
        <f>IF('Прогнозные отчеты'!C54=0,"-",('Прогнозные отчеты'!D54-'Прогнозные отчеты'!C54)/'Прогнозные отчеты'!C54)</f>
        <v>1.1531523485261812</v>
      </c>
      <c r="E50" s="221">
        <f>IF('Прогнозные отчеты'!D54=0,"-",('Прогнозные отчеты'!E54-'Прогнозные отчеты'!D54)/'Прогнозные отчеты'!D54)</f>
        <v>6.6438282017412281E-2</v>
      </c>
      <c r="F50" s="221">
        <f>IF('Прогнозные отчеты'!E54=0,"-",('Прогнозные отчеты'!F54-'Прогнозные отчеты'!E54)/'Прогнозные отчеты'!E54)</f>
        <v>5.3697129194189855E-2</v>
      </c>
      <c r="G50" s="221">
        <f>IF('Прогнозные отчеты'!F54=0,"-",('Прогнозные отчеты'!G54-'Прогнозные отчеты'!F54)/'Прогнозные отчеты'!F54)</f>
        <v>5.0000000000000253E-2</v>
      </c>
    </row>
    <row r="51" spans="1:7" x14ac:dyDescent="0.2">
      <c r="A51" s="220" t="s">
        <v>381</v>
      </c>
      <c r="B51" s="191"/>
      <c r="C51" s="181" t="s">
        <v>312</v>
      </c>
      <c r="D51" s="221">
        <f>IF('Прогнозные отчеты'!C55=0,"-",('Прогнозные отчеты'!D55-'Прогнозные отчеты'!C55)/'Прогнозные отчеты'!C55)</f>
        <v>0.4673491832943209</v>
      </c>
      <c r="E51" s="221">
        <f>IF('Прогнозные отчеты'!D55=0,"-",('Прогнозные отчеты'!E55-'Прогнозные отчеты'!D55)/'Прогнозные отчеты'!D55)</f>
        <v>6.6438282017412226E-2</v>
      </c>
      <c r="F51" s="221">
        <f>IF('Прогнозные отчеты'!E55=0,"-",('Прогнозные отчеты'!F55-'Прогнозные отчеты'!E55)/'Прогнозные отчеты'!E55)</f>
        <v>5.3697129194189668E-2</v>
      </c>
      <c r="G51" s="221">
        <f>IF('Прогнозные отчеты'!F55=0,"-",('Прогнозные отчеты'!G55-'Прогнозные отчеты'!F55)/'Прогнозные отчеты'!F55)</f>
        <v>5.0000000000000377E-2</v>
      </c>
    </row>
    <row r="52" spans="1:7" x14ac:dyDescent="0.2">
      <c r="A52" s="220" t="s">
        <v>154</v>
      </c>
      <c r="B52" s="191"/>
      <c r="C52" s="181" t="s">
        <v>312</v>
      </c>
      <c r="D52" s="221">
        <f>IF('Прогнозные отчеты'!C56=0,"-",('Прогнозные отчеты'!D56-'Прогнозные отчеты'!C56)/'Прогнозные отчеты'!C56)</f>
        <v>0</v>
      </c>
      <c r="E52" s="221">
        <f>IF('Прогнозные отчеты'!D56=0,"-",('Прогнозные отчеты'!E56-'Прогнозные отчеты'!D56)/'Прогнозные отчеты'!D56)</f>
        <v>16.578947368421051</v>
      </c>
      <c r="F52" s="221">
        <f>IF('Прогнозные отчеты'!E56=0,"-",('Прогнозные отчеты'!F56-'Прогнозные отчеты'!E56)/'Прогнозные отчеты'!E56)</f>
        <v>20.793413173652691</v>
      </c>
      <c r="G52" s="221">
        <f>IF('Прогнозные отчеты'!F56=0,"-",('Прогнозные отчеты'!G56-'Прогнозные отчеты'!F56)/'Прогнозные отчеты'!F56)</f>
        <v>0</v>
      </c>
    </row>
    <row r="53" spans="1:7" x14ac:dyDescent="0.2">
      <c r="A53" s="192"/>
      <c r="B53" s="192"/>
      <c r="C53" s="194"/>
      <c r="D53" s="201"/>
      <c r="E53" s="201"/>
      <c r="F53" s="201"/>
      <c r="G53" s="201"/>
    </row>
    <row r="54" spans="1:7" s="161" customFormat="1" x14ac:dyDescent="0.2">
      <c r="A54" s="193" t="s">
        <v>20</v>
      </c>
      <c r="B54" s="193"/>
      <c r="C54" s="181" t="s">
        <v>312</v>
      </c>
      <c r="D54" s="204">
        <f>IF('Прогнозные отчеты'!C58=0,"-",('Прогнозные отчеты'!D58-'Прогнозные отчеты'!C58)/'Прогнозные отчеты'!C58)</f>
        <v>1.4832542927731691</v>
      </c>
      <c r="E54" s="204">
        <f>IF('Прогнозные отчеты'!D58=0,"-",('Прогнозные отчеты'!E58-'Прогнозные отчеты'!D58)/'Прогнозные отчеты'!D58)</f>
        <v>1.1282117711722395</v>
      </c>
      <c r="F54" s="204">
        <f>IF('Прогнозные отчеты'!E58=0,"-",('Прогнозные отчеты'!F58-'Прогнозные отчеты'!E58)/'Прогнозные отчеты'!E58)</f>
        <v>0.73636061630519567</v>
      </c>
      <c r="G54" s="204">
        <f>IF('Прогнозные отчеты'!F58=0,"-",('Прогнозные отчеты'!G58-'Прогнозные отчеты'!F58)/'Прогнозные отчеты'!F58)</f>
        <v>7.0642228640724627E-2</v>
      </c>
    </row>
    <row r="55" spans="1:7" x14ac:dyDescent="0.2">
      <c r="A55" s="192"/>
      <c r="B55" s="192"/>
      <c r="C55" s="199"/>
      <c r="D55" s="200"/>
      <c r="E55" s="200"/>
      <c r="F55" s="200"/>
      <c r="G55" s="200"/>
    </row>
    <row r="56" spans="1:7" s="197" customFormat="1" x14ac:dyDescent="0.2">
      <c r="A56" s="210" t="s">
        <v>383</v>
      </c>
      <c r="B56" s="196"/>
      <c r="C56" s="181" t="s">
        <v>312</v>
      </c>
      <c r="D56" s="204">
        <f>IF('Прогнозные отчеты'!C60=0,"-",('Прогнозные отчеты'!D60-'Прогнозные отчеты'!C60)/'Прогнозные отчеты'!C60)</f>
        <v>0.61486426139463579</v>
      </c>
      <c r="E56" s="204">
        <f>IF('Прогнозные отчеты'!D60=0,"-",('Прогнозные отчеты'!E60-'Прогнозные отчеты'!D60)/'Прогнозные отчеты'!D60)</f>
        <v>6.6438282017412212E-2</v>
      </c>
      <c r="F56" s="204">
        <f>IF('Прогнозные отчеты'!E60=0,"-",('Прогнозные отчеты'!F60-'Прогнозные отчеты'!E60)/'Прогнозные отчеты'!E60)</f>
        <v>5.369712919418991E-2</v>
      </c>
      <c r="G56" s="204">
        <f>IF('Прогнозные отчеты'!F60=0,"-",('Прогнозные отчеты'!G60-'Прогнозные отчеты'!F60)/'Прогнозные отчеты'!F60)</f>
        <v>5.0000000000000447E-2</v>
      </c>
    </row>
    <row r="57" spans="1:7" s="197" customFormat="1" x14ac:dyDescent="0.2">
      <c r="A57" s="210" t="s">
        <v>145</v>
      </c>
      <c r="B57" s="196"/>
      <c r="C57" s="181" t="s">
        <v>312</v>
      </c>
      <c r="D57" s="204">
        <f>IF('Прогнозные отчеты'!C61=0,"-",('Прогнозные отчеты'!D61-'Прогнозные отчеты'!C61)/'Прогнозные отчеты'!C61)</f>
        <v>0.62168169982693899</v>
      </c>
      <c r="E57" s="204">
        <f>IF('Прогнозные отчеты'!D61=0,"-",('Прогнозные отчеты'!E61-'Прогнозные отчеты'!D61)/'Прогнозные отчеты'!D61)</f>
        <v>0.50601572084784974</v>
      </c>
      <c r="F57" s="204">
        <f>IF('Прогнозные отчеты'!E61=0,"-",('Прогнозные отчеты'!F61-'Прогнозные отчеты'!E61)/'Прогнозные отчеты'!E61)</f>
        <v>0.16245947303598499</v>
      </c>
      <c r="G57" s="204">
        <f>IF('Прогнозные отчеты'!F61=0,"-",('Прогнозные отчеты'!G61-'Прогнозные отчеты'!F61)/'Прогнозные отчеты'!F61)</f>
        <v>5.0000000000000225E-2</v>
      </c>
    </row>
    <row r="58" spans="1:7" x14ac:dyDescent="0.2">
      <c r="A58" s="192"/>
      <c r="B58" s="192"/>
      <c r="C58" s="199"/>
      <c r="D58" s="200"/>
      <c r="E58" s="200"/>
      <c r="F58" s="200"/>
      <c r="G58" s="200"/>
    </row>
    <row r="59" spans="1:7" s="161" customFormat="1" x14ac:dyDescent="0.2">
      <c r="A59" s="198" t="s">
        <v>23</v>
      </c>
      <c r="B59" s="198"/>
      <c r="C59" s="181" t="s">
        <v>312</v>
      </c>
      <c r="D59" s="204">
        <f>IF('Прогнозные отчеты'!C63=0,"-",('Прогнозные отчеты'!D63-'Прогнозные отчеты'!C63)/'Прогнозные отчеты'!C63)</f>
        <v>1.63118025216867</v>
      </c>
      <c r="E59" s="204">
        <f>IF('Прогнозные отчеты'!D63=0,"-",('Прогнозные отчеты'!E63-'Прогнозные отчеты'!D63)/'Прогнозные отчеты'!D63)</f>
        <v>1.2221851138888673</v>
      </c>
      <c r="F59" s="204">
        <f>IF('Прогнозные отчеты'!E63=0,"-",('Прогнозные отчеты'!F63-'Прогнозные отчеты'!E63)/'Прогнозные отчеты'!E63)</f>
        <v>0.77321656325749855</v>
      </c>
      <c r="G59" s="204">
        <f>IF('Прогнозные отчеты'!F63=0,"-",('Прогнозные отчеты'!G63-'Прогнозные отчеты'!F63)/'Прогнозные отчеты'!F63)</f>
        <v>7.1391559662523002E-2</v>
      </c>
    </row>
    <row r="60" spans="1:7" x14ac:dyDescent="0.2">
      <c r="A60" s="192"/>
      <c r="B60" s="192"/>
      <c r="C60" s="199"/>
      <c r="D60" s="200"/>
      <c r="E60" s="200"/>
      <c r="F60" s="200"/>
      <c r="G60" s="200"/>
    </row>
    <row r="61" spans="1:7" s="197" customFormat="1" ht="12" customHeight="1" x14ac:dyDescent="0.2">
      <c r="A61" s="210" t="s">
        <v>449</v>
      </c>
      <c r="B61" s="196"/>
      <c r="C61" s="181" t="s">
        <v>312</v>
      </c>
      <c r="D61" s="204" t="str">
        <f>IF('Прогнозные отчеты'!C65=0,"-",('Прогнозные отчеты'!D65-'Прогнозные отчеты'!C65)/'Прогнозные отчеты'!C65)</f>
        <v>-</v>
      </c>
      <c r="E61" s="204" t="str">
        <f>IF('Прогнозные отчеты'!D65=0,"-",('Прогнозные отчеты'!E65-'Прогнозные отчеты'!D65)/'Прогнозные отчеты'!D65)</f>
        <v>-</v>
      </c>
      <c r="F61" s="204">
        <f>IF('Прогнозные отчеты'!E65=0,"-",('Прогнозные отчеты'!F65-'Прогнозные отчеты'!E65)/'Прогнозные отчеты'!E65)</f>
        <v>39.588306208559374</v>
      </c>
      <c r="G61" s="204">
        <f>IF('Прогнозные отчеты'!F65=0,"-",('Прогнозные отчеты'!G65-'Прогнозные отчеты'!F65)/'Прогнозные отчеты'!F65)</f>
        <v>6.1304502791968599E-2</v>
      </c>
    </row>
    <row r="62" spans="1:7" s="197" customFormat="1" x14ac:dyDescent="0.2">
      <c r="A62" s="210" t="s">
        <v>450</v>
      </c>
      <c r="B62" s="196"/>
      <c r="C62" s="181" t="s">
        <v>312</v>
      </c>
      <c r="D62" s="204" t="str">
        <f>IF('Прогнозные отчеты'!C66=0,"-",('Прогнозные отчеты'!D66-'Прогнозные отчеты'!C66)/'Прогнозные отчеты'!C66)</f>
        <v>-</v>
      </c>
      <c r="E62" s="204">
        <f>IF('Прогнозные отчеты'!D66=0,"-",('Прогнозные отчеты'!E66-'Прогнозные отчеты'!D66)/'Прогнозные отчеты'!D66)</f>
        <v>-1</v>
      </c>
      <c r="F62" s="204" t="str">
        <f>IF('Прогнозные отчеты'!E66=0,"-",('Прогнозные отчеты'!F66-'Прогнозные отчеты'!E66)/'Прогнозные отчеты'!E66)</f>
        <v>-</v>
      </c>
      <c r="G62" s="204">
        <f>IF('Прогнозные отчеты'!F66=0,"-",('Прогнозные отчеты'!G66-'Прогнозные отчеты'!F66)/'Прогнозные отчеты'!F66)</f>
        <v>-1</v>
      </c>
    </row>
    <row r="63" spans="1:7" x14ac:dyDescent="0.2">
      <c r="A63" s="192"/>
      <c r="B63" s="192"/>
      <c r="C63" s="199"/>
      <c r="D63" s="200"/>
      <c r="E63" s="200"/>
      <c r="F63" s="200"/>
      <c r="G63" s="200"/>
    </row>
    <row r="64" spans="1:7" s="161" customFormat="1" x14ac:dyDescent="0.2">
      <c r="A64" s="198" t="s">
        <v>28</v>
      </c>
      <c r="B64" s="198"/>
      <c r="C64" s="181" t="s">
        <v>312</v>
      </c>
      <c r="D64" s="204">
        <f>IF('Прогнозные отчеты'!C68=0,"-",('Прогнозные отчеты'!D68-'Прогнозные отчеты'!C68)/'Прогнозные отчеты'!C68)</f>
        <v>1.7976513288133222</v>
      </c>
      <c r="E64" s="204">
        <f>IF('Прогнозные отчеты'!D68=0,"-",('Прогнозные отчеты'!E68-'Прогнозные отчеты'!D68)/'Прогнозные отчеты'!D68)</f>
        <v>1.0899348699806586</v>
      </c>
      <c r="F64" s="204">
        <f>IF('Прогнозные отчеты'!E68=0,"-",('Прогнозные отчеты'!F68-'Прогнозные отчеты'!E68)/'Прогнозные отчеты'!E68)</f>
        <v>0.86945443639333453</v>
      </c>
      <c r="G64" s="204">
        <f>IF('Прогнозные отчеты'!F68=0,"-",('Прогнозные отчеты'!G68-'Прогнозные отчеты'!F68)/'Прогнозные отчеты'!F68)</f>
        <v>1.6009267725802814E-2</v>
      </c>
    </row>
    <row r="65" spans="1:7" x14ac:dyDescent="0.2">
      <c r="A65" s="192"/>
      <c r="B65" s="192"/>
      <c r="C65" s="199"/>
      <c r="D65" s="200"/>
      <c r="E65" s="200"/>
      <c r="F65" s="200"/>
      <c r="G65" s="200"/>
    </row>
    <row r="66" spans="1:7" x14ac:dyDescent="0.2">
      <c r="A66" s="210" t="s">
        <v>128</v>
      </c>
      <c r="B66" s="191"/>
      <c r="C66" s="181" t="s">
        <v>312</v>
      </c>
      <c r="D66" s="204">
        <f>IF('Прогнозные отчеты'!C70=0,"-",('Прогнозные отчеты'!D70-'Прогнозные отчеты'!C70)/'Прогнозные отчеты'!C70)</f>
        <v>1.8464319447855162</v>
      </c>
      <c r="E66" s="204">
        <f>IF('Прогнозные отчеты'!D70=0,"-",('Прогнозные отчеты'!E70-'Прогнозные отчеты'!D70)/'Прогнозные отчеты'!D70)</f>
        <v>1.0899348699806601</v>
      </c>
      <c r="F66" s="204">
        <f>IF('Прогнозные отчеты'!E70=0,"-",('Прогнозные отчеты'!F70-'Прогнозные отчеты'!E70)/'Прогнозные отчеты'!E70)</f>
        <v>0.8694544363933342</v>
      </c>
      <c r="G66" s="204">
        <f>IF('Прогнозные отчеты'!F70=0,"-",('Прогнозные отчеты'!G70-'Прогнозные отчеты'!F70)/'Прогнозные отчеты'!F70)</f>
        <v>1.6009267725802925E-2</v>
      </c>
    </row>
    <row r="67" spans="1:7" s="197" customFormat="1" x14ac:dyDescent="0.2">
      <c r="A67" s="196"/>
      <c r="B67" s="196"/>
      <c r="C67" s="202"/>
      <c r="D67" s="203"/>
      <c r="E67" s="203"/>
      <c r="F67" s="203"/>
      <c r="G67" s="203"/>
    </row>
    <row r="68" spans="1:7" s="161" customFormat="1" x14ac:dyDescent="0.2">
      <c r="A68" s="193" t="s">
        <v>30</v>
      </c>
      <c r="B68" s="193"/>
      <c r="C68" s="181" t="s">
        <v>312</v>
      </c>
      <c r="D68" s="204">
        <f>IF('Прогнозные отчеты'!C72=0,"-",('Прогнозные отчеты'!D72-'Прогнозные отчеты'!C72)/'Прогнозные отчеты'!C72)</f>
        <v>1.7857163028043992</v>
      </c>
      <c r="E68" s="204">
        <f>IF('Прогнозные отчеты'!D72=0,"-",('Прогнозные отчеты'!E72-'Прогнозные отчеты'!D72)/'Прогнозные отчеты'!D72)</f>
        <v>1.0899348699806584</v>
      </c>
      <c r="F68" s="204">
        <f>IF('Прогнозные отчеты'!E72=0,"-",('Прогнозные отчеты'!F72-'Прогнозные отчеты'!E72)/'Прогнозные отчеты'!E72)</f>
        <v>0.86945443639333464</v>
      </c>
      <c r="G68" s="204">
        <f>IF('Прогнозные отчеты'!F72=0,"-",('Прогнозные отчеты'!G72-'Прогнозные отчеты'!F72)/'Прогнозные отчеты'!F72)</f>
        <v>1.6009267725802644E-2</v>
      </c>
    </row>
    <row r="69" spans="1:7" x14ac:dyDescent="0.2">
      <c r="A69" s="191"/>
      <c r="B69" s="191"/>
      <c r="C69" s="164"/>
      <c r="D69" s="164"/>
      <c r="E69" s="164"/>
      <c r="F69" s="164"/>
      <c r="G69" s="164"/>
    </row>
    <row r="70" spans="1:7" x14ac:dyDescent="0.2">
      <c r="A70" s="166"/>
      <c r="B70" s="166"/>
      <c r="C70" s="170"/>
      <c r="D70" s="170"/>
      <c r="E70" s="170"/>
      <c r="F70" s="170"/>
      <c r="G70" s="170"/>
    </row>
    <row r="71" spans="1:7" x14ac:dyDescent="0.2">
      <c r="A71" s="166"/>
      <c r="B71" s="166"/>
      <c r="C71" s="170"/>
      <c r="D71" s="170"/>
      <c r="E71" s="170"/>
      <c r="F71" s="170"/>
      <c r="G71" s="170"/>
    </row>
    <row r="72" spans="1:7" x14ac:dyDescent="0.2">
      <c r="A72" s="11" t="s">
        <v>566</v>
      </c>
      <c r="B72" s="11"/>
      <c r="C72" s="3">
        <f>Окружение!D4</f>
        <v>2014</v>
      </c>
      <c r="D72" s="4">
        <f>C72+1</f>
        <v>2015</v>
      </c>
      <c r="E72" s="5">
        <f>D72+1</f>
        <v>2016</v>
      </c>
      <c r="F72" s="6">
        <f>E72+1</f>
        <v>2017</v>
      </c>
      <c r="G72" s="7">
        <f>F72+1</f>
        <v>2018</v>
      </c>
    </row>
    <row r="73" spans="1:7" x14ac:dyDescent="0.2">
      <c r="A73" s="166"/>
      <c r="B73" s="166"/>
      <c r="C73" s="170"/>
      <c r="D73" s="170"/>
      <c r="E73" s="170"/>
      <c r="F73" s="170"/>
      <c r="G73" s="170"/>
    </row>
    <row r="74" spans="1:7" x14ac:dyDescent="0.2">
      <c r="A74" s="166" t="s">
        <v>567</v>
      </c>
      <c r="B74" s="80" t="s">
        <v>123</v>
      </c>
      <c r="C74" s="172" t="str">
        <f>C68</f>
        <v>-</v>
      </c>
      <c r="D74" s="172">
        <f>D68</f>
        <v>1.7857163028043992</v>
      </c>
      <c r="E74" s="172">
        <f>E68</f>
        <v>1.0899348699806584</v>
      </c>
      <c r="F74" s="172">
        <f>F68</f>
        <v>0.86945443639333464</v>
      </c>
      <c r="G74" s="172">
        <f>G68</f>
        <v>1.6009267725802644E-2</v>
      </c>
    </row>
    <row r="75" spans="1:7" x14ac:dyDescent="0.2">
      <c r="A75" s="166" t="s">
        <v>568</v>
      </c>
      <c r="B75" s="80" t="s">
        <v>123</v>
      </c>
      <c r="C75" s="172" t="str">
        <f>C45</f>
        <v>-</v>
      </c>
      <c r="D75" s="172">
        <f>D45</f>
        <v>2.0217435260255057</v>
      </c>
      <c r="E75" s="172">
        <f>E45</f>
        <v>1.0719263172135616</v>
      </c>
      <c r="F75" s="172">
        <f>F45</f>
        <v>0.58316164571049967</v>
      </c>
      <c r="G75" s="172">
        <f>G45</f>
        <v>0.17171820762322196</v>
      </c>
    </row>
    <row r="76" spans="1:7" x14ac:dyDescent="0.2">
      <c r="A76" s="162" t="s">
        <v>569</v>
      </c>
      <c r="B76" s="80" t="s">
        <v>123</v>
      </c>
      <c r="C76" s="172" t="str">
        <f>C19</f>
        <v>-</v>
      </c>
      <c r="D76" s="172">
        <f>D19</f>
        <v>1.3815278330152516</v>
      </c>
      <c r="E76" s="172">
        <f>E19</f>
        <v>1.512082336170762</v>
      </c>
      <c r="F76" s="172">
        <f>F19</f>
        <v>1.0412807142822218</v>
      </c>
      <c r="G76" s="172">
        <f>G19</f>
        <v>0.55052294405735425</v>
      </c>
    </row>
    <row r="77" spans="1:7" x14ac:dyDescent="0.2">
      <c r="A77" s="162" t="s">
        <v>570</v>
      </c>
      <c r="B77" s="80" t="s">
        <v>123</v>
      </c>
      <c r="C77" s="172" t="str">
        <f>C26</f>
        <v>-</v>
      </c>
      <c r="D77" s="172">
        <f>D26</f>
        <v>2.7273509008006087</v>
      </c>
      <c r="E77" s="172">
        <f>E26</f>
        <v>1.5150940084963342</v>
      </c>
      <c r="F77" s="172">
        <f>F26</f>
        <v>1.1260405795064141</v>
      </c>
      <c r="G77" s="172">
        <f>G26</f>
        <v>0.53805542830708319</v>
      </c>
    </row>
    <row r="79" spans="1:7" s="161" customFormat="1" x14ac:dyDescent="0.2">
      <c r="A79" s="160" t="s">
        <v>571</v>
      </c>
      <c r="B79" s="160"/>
      <c r="C79" s="262"/>
      <c r="D79" s="262"/>
      <c r="E79" s="262"/>
      <c r="F79" s="262"/>
      <c r="G79" s="262"/>
    </row>
  </sheetData>
  <hyperlinks>
    <hyperlink ref="A1" r:id="rId1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6"/>
  <sheetViews>
    <sheetView zoomScale="85" zoomScaleNormal="85" workbookViewId="0"/>
  </sheetViews>
  <sheetFormatPr defaultRowHeight="12.75" x14ac:dyDescent="0.2"/>
  <cols>
    <col min="1" max="1" width="41.140625" style="162" customWidth="1"/>
    <col min="2" max="2" width="11.85546875" style="162" customWidth="1"/>
    <col min="3" max="3" width="10.42578125" style="158" bestFit="1" customWidth="1"/>
    <col min="4" max="6" width="11.7109375" style="158" bestFit="1" customWidth="1"/>
    <col min="7" max="7" width="12.28515625" style="158" bestFit="1" customWidth="1"/>
    <col min="8" max="16384" width="9.140625" style="158"/>
  </cols>
  <sheetData>
    <row r="1" spans="1:8" ht="18" x14ac:dyDescent="0.25">
      <c r="A1" s="319" t="s">
        <v>573</v>
      </c>
    </row>
    <row r="2" spans="1:8" x14ac:dyDescent="0.2">
      <c r="A2" s="11" t="s">
        <v>457</v>
      </c>
      <c r="B2" s="11"/>
      <c r="C2" s="3">
        <f>Окружение!D4</f>
        <v>2014</v>
      </c>
      <c r="D2" s="4">
        <f>C2+1</f>
        <v>2015</v>
      </c>
      <c r="E2" s="5">
        <f>D2+1</f>
        <v>2016</v>
      </c>
      <c r="F2" s="6">
        <f>E2+1</f>
        <v>2017</v>
      </c>
      <c r="G2" s="7">
        <f>F2+1</f>
        <v>2018</v>
      </c>
    </row>
    <row r="3" spans="1:8" s="159" customFormat="1" x14ac:dyDescent="0.2">
      <c r="A3" s="165"/>
      <c r="B3" s="165"/>
    </row>
    <row r="4" spans="1:8" x14ac:dyDescent="0.2">
      <c r="A4" s="185" t="s">
        <v>214</v>
      </c>
      <c r="B4" s="135"/>
      <c r="C4" s="62"/>
      <c r="D4" s="62"/>
      <c r="E4" s="62"/>
      <c r="F4" s="63"/>
      <c r="G4" s="62"/>
      <c r="H4" s="170"/>
    </row>
    <row r="5" spans="1:8" x14ac:dyDescent="0.2">
      <c r="A5" s="25" t="s">
        <v>435</v>
      </c>
      <c r="B5" s="25"/>
    </row>
    <row r="6" spans="1:8" x14ac:dyDescent="0.2">
      <c r="A6" s="207" t="s">
        <v>316</v>
      </c>
      <c r="B6" s="80"/>
      <c r="C6" s="204">
        <f>IF('Прогнозные отчеты'!C$19=0,0,'Прогнозные отчеты'!C6/'Прогнозные отчеты'!C$19)</f>
        <v>2.8153825055308123E-4</v>
      </c>
      <c r="D6" s="204">
        <f>IF('Прогнозные отчеты'!D$19=0,0,'Прогнозные отчеты'!D6/'Прогнозные отчеты'!D$19)</f>
        <v>1.1672106929679719E-4</v>
      </c>
      <c r="E6" s="204">
        <f>IF('Прогнозные отчеты'!E$19=0,0,'Прогнозные отчеты'!E6/'Прогнозные отчеты'!E$19)</f>
        <v>4.5868180223381461E-5</v>
      </c>
      <c r="F6" s="204">
        <f>IF('Прогнозные отчеты'!F$19=0,0,'Прогнозные отчеты'!F6/'Прогнозные отчеты'!F$19)</f>
        <v>2.2178473178319809E-5</v>
      </c>
      <c r="G6" s="204">
        <f>IF('Прогнозные отчеты'!G$19=0,0,'Прогнозные отчеты'!G6/'Прогнозные отчеты'!G$19)</f>
        <v>1.4115657718384597E-5</v>
      </c>
    </row>
    <row r="7" spans="1:8" x14ac:dyDescent="0.2">
      <c r="A7" s="207" t="s">
        <v>315</v>
      </c>
      <c r="B7" s="80"/>
      <c r="C7" s="204">
        <f>IF('Прогнозные отчеты'!C$19=0,0,'Прогнозные отчеты'!C7/'Прогнозные отчеты'!C$19)</f>
        <v>0</v>
      </c>
      <c r="D7" s="204">
        <f>IF('Прогнозные отчеты'!D$19=0,0,'Прогнозные отчеты'!D7/'Прогнозные отчеты'!D$19)</f>
        <v>0</v>
      </c>
      <c r="E7" s="204">
        <f>IF('Прогнозные отчеты'!E$19=0,0,'Прогнозные отчеты'!E7/'Прогнозные отчеты'!E$19)</f>
        <v>7.8019799375177547E-4</v>
      </c>
      <c r="F7" s="204">
        <f>IF('Прогнозные отчеты'!F$19=0,0,'Прогнозные отчеты'!F7/'Прогнозные отчеты'!F$19)</f>
        <v>2.113789730724559E-3</v>
      </c>
      <c r="G7" s="204">
        <f>IF('Прогнозные отчеты'!G$19=0,0,'Прогнозные отчеты'!G7/'Прогнозные отчеты'!G$19)</f>
        <v>1.2913598024261105E-3</v>
      </c>
    </row>
    <row r="8" spans="1:8" x14ac:dyDescent="0.2">
      <c r="A8" s="207" t="s">
        <v>219</v>
      </c>
      <c r="B8" s="80"/>
      <c r="C8" s="204">
        <f>IF('Прогнозные отчеты'!C$19=0,0,'Прогнозные отчеты'!C8/'Прогнозные отчеты'!C$19)</f>
        <v>7.2183331341004508E-3</v>
      </c>
      <c r="D8" s="204">
        <f>IF('Прогнозные отчеты'!D$19=0,0,'Прогнозные отчеты'!D8/'Прогнозные отчеты'!D$19)</f>
        <v>7.7943211213820762E-3</v>
      </c>
      <c r="E8" s="204">
        <f>IF('Прогнозные отчеты'!E$19=0,0,'Прогнозные отчеты'!E8/'Прогнозные отчеты'!E$19)</f>
        <v>3.3860310759570721E-3</v>
      </c>
      <c r="F8" s="204">
        <f>IF('Прогнозные отчеты'!F$19=0,0,'Прогнозные отчеты'!F8/'Прогнозные отчеты'!F$19)</f>
        <v>0</v>
      </c>
      <c r="G8" s="204">
        <f>IF('Прогнозные отчеты'!G$19=0,0,'Прогнозные отчеты'!G8/'Прогнозные отчеты'!G$19)</f>
        <v>0</v>
      </c>
    </row>
    <row r="9" spans="1:8" x14ac:dyDescent="0.2">
      <c r="A9" s="171" t="s">
        <v>436</v>
      </c>
      <c r="B9" s="80"/>
      <c r="C9" s="205">
        <f>IF('Прогнозные отчеты'!C$19=0,0,'Прогнозные отчеты'!C9/'Прогнозные отчеты'!C$19)</f>
        <v>7.4998713846535321E-3</v>
      </c>
      <c r="D9" s="205">
        <f>IF('Прогнозные отчеты'!D$19=0,0,'Прогнозные отчеты'!D9/'Прогнозные отчеты'!D$19)</f>
        <v>7.9110421906788721E-3</v>
      </c>
      <c r="E9" s="205">
        <f>IF('Прогнозные отчеты'!E$19=0,0,'Прогнозные отчеты'!E9/'Прогнозные отчеты'!E$19)</f>
        <v>4.2120972499322291E-3</v>
      </c>
      <c r="F9" s="205">
        <f>IF('Прогнозные отчеты'!F$19=0,0,'Прогнозные отчеты'!F9/'Прогнозные отчеты'!F$19)</f>
        <v>2.1359682039028788E-3</v>
      </c>
      <c r="G9" s="205">
        <f>IF('Прогнозные отчеты'!G$19=0,0,'Прогнозные отчеты'!G9/'Прогнозные отчеты'!G$19)</f>
        <v>1.3054754601444952E-3</v>
      </c>
    </row>
    <row r="10" spans="1:8" x14ac:dyDescent="0.2">
      <c r="A10" s="169"/>
      <c r="B10" s="169"/>
      <c r="C10" s="222"/>
      <c r="D10" s="222"/>
      <c r="E10" s="222"/>
      <c r="F10" s="222"/>
      <c r="G10" s="222"/>
      <c r="H10" s="170"/>
    </row>
    <row r="11" spans="1:8" x14ac:dyDescent="0.2">
      <c r="A11" s="25" t="s">
        <v>220</v>
      </c>
      <c r="B11" s="170"/>
      <c r="C11" s="222"/>
      <c r="D11" s="222"/>
      <c r="E11" s="222"/>
      <c r="F11" s="222"/>
      <c r="G11" s="222"/>
      <c r="H11" s="170"/>
    </row>
    <row r="12" spans="1:8" x14ac:dyDescent="0.2">
      <c r="A12" s="207" t="s">
        <v>437</v>
      </c>
      <c r="B12" s="80"/>
      <c r="C12" s="204">
        <f>IF('Прогнозные отчеты'!C$19=0,0,'Прогнозные отчеты'!C12/'Прогнозные отчеты'!C$19)</f>
        <v>8.7113087410532891E-2</v>
      </c>
      <c r="D12" s="204">
        <f>IF('Прогнозные отчеты'!D$19=0,0,'Прогнозные отчеты'!D12/'Прогнозные отчеты'!D$19)</f>
        <v>0.19421543671758243</v>
      </c>
      <c r="E12" s="204">
        <f>IF('Прогнозные отчеты'!E$19=0,0,'Прогнозные отчеты'!E12/'Прогнозные отчеты'!E$19)</f>
        <v>0.12716298700816014</v>
      </c>
      <c r="F12" s="204">
        <f>IF('Прогнозные отчеты'!F$19=0,0,'Прогнозные отчеты'!F12/'Прогнозные отчеты'!F$19)</f>
        <v>8.5429508044190181E-2</v>
      </c>
      <c r="G12" s="204">
        <f>IF('Прогнозные отчеты'!G$19=0,0,'Прогнозные отчеты'!G12/'Прогнозные отчеты'!G$19)</f>
        <v>7.0025294904281443E-2</v>
      </c>
    </row>
    <row r="13" spans="1:8" x14ac:dyDescent="0.2">
      <c r="A13" s="208" t="s">
        <v>330</v>
      </c>
      <c r="B13" s="80"/>
      <c r="C13" s="204">
        <f>IF('Прогнозные отчеты'!C$19=0,0,'Прогнозные отчеты'!C13/'Прогнозные отчеты'!C$19)</f>
        <v>0</v>
      </c>
      <c r="D13" s="204">
        <f>IF('Прогнозные отчеты'!D$19=0,0,'Прогнозные отчеты'!D13/'Прогнозные отчеты'!D$19)</f>
        <v>0.16556809343803258</v>
      </c>
      <c r="E13" s="204">
        <f>IF('Прогнозные отчеты'!E$19=0,0,'Прогнозные отчеты'!E13/'Прогнозные отчеты'!E$19)</f>
        <v>0.29350872482769208</v>
      </c>
      <c r="F13" s="204">
        <f>IF('Прогнозные отчеты'!F$19=0,0,'Прогнозные отчеты'!F13/'Прогнозные отчеты'!F$19)</f>
        <v>0.26233610736907087</v>
      </c>
      <c r="G13" s="204">
        <f>IF('Прогнозные отчеты'!G$19=0,0,'Прогнозные отчеты'!G13/'Прогнозные отчеты'!G$19)</f>
        <v>0.19630909598651619</v>
      </c>
    </row>
    <row r="14" spans="1:8" x14ac:dyDescent="0.2">
      <c r="A14" s="207" t="s">
        <v>329</v>
      </c>
      <c r="B14" s="80"/>
      <c r="C14" s="204">
        <f>IF('Прогнозные отчеты'!C$19=0,0,'Прогнозные отчеты'!C14/'Прогнозные отчеты'!C$19)</f>
        <v>0.15801010258253939</v>
      </c>
      <c r="D14" s="204">
        <f>IF('Прогнозные отчеты'!D$19=0,0,'Прогнозные отчеты'!D14/'Прогнозные отчеты'!D$19)</f>
        <v>0.18512014731044335</v>
      </c>
      <c r="E14" s="204">
        <f>IF('Прогнозные отчеты'!E$19=0,0,'Прогнозные отчеты'!E14/'Прогнозные отчеты'!E$19)</f>
        <v>5.3841774370307655E-2</v>
      </c>
      <c r="F14" s="204">
        <f>IF('Прогнозные отчеты'!F$19=0,0,'Прогнозные отчеты'!F14/'Прогнозные отчеты'!F$19)</f>
        <v>3.5621378933128188E-2</v>
      </c>
      <c r="G14" s="204">
        <f>IF('Прогнозные отчеты'!G$19=0,0,'Прогнозные отчеты'!G14/'Прогнозные отчеты'!G$19)</f>
        <v>2.8978262891227576E-2</v>
      </c>
    </row>
    <row r="15" spans="1:8" x14ac:dyDescent="0.2">
      <c r="A15" s="207" t="s">
        <v>314</v>
      </c>
      <c r="B15" s="80"/>
      <c r="C15" s="204">
        <f>IF('Прогнозные отчеты'!C$19=0,0,'Прогнозные отчеты'!C15/'Прогнозные отчеты'!C$19)</f>
        <v>0</v>
      </c>
      <c r="D15" s="204">
        <f>IF('Прогнозные отчеты'!D$19=0,0,'Прогнозные отчеты'!D15/'Прогнозные отчеты'!D$19)</f>
        <v>0</v>
      </c>
      <c r="E15" s="204">
        <f>IF('Прогнозные отчеты'!E$19=0,0,'Прогнозные отчеты'!E15/'Прогнозные отчеты'!E$19)</f>
        <v>0</v>
      </c>
      <c r="F15" s="204">
        <f>IF('Прогнозные отчеты'!F$19=0,0,'Прогнозные отчеты'!F15/'Прогнозные отчеты'!F$19)</f>
        <v>0</v>
      </c>
      <c r="G15" s="204">
        <f>IF('Прогнозные отчеты'!G$19=0,0,'Прогнозные отчеты'!G15/'Прогнозные отчеты'!G$19)</f>
        <v>0</v>
      </c>
    </row>
    <row r="16" spans="1:8" x14ac:dyDescent="0.2">
      <c r="A16" s="207" t="s">
        <v>313</v>
      </c>
      <c r="B16" s="80"/>
      <c r="C16" s="204">
        <f>IF('Прогнозные отчеты'!C$19=0,0,'Прогнозные отчеты'!C16/'Прогнозные отчеты'!C$19)</f>
        <v>0.74737693862227417</v>
      </c>
      <c r="D16" s="204">
        <f>IF('Прогнозные отчеты'!D$19=0,0,'Прогнозные отчеты'!D16/'Прогнозные отчеты'!D$19)</f>
        <v>0.44718528034326277</v>
      </c>
      <c r="E16" s="204">
        <f>IF('Прогнозные отчеты'!E$19=0,0,'Прогнозные отчеты'!E16/'Прогнозные отчеты'!E$19)</f>
        <v>0.52127441654390771</v>
      </c>
      <c r="F16" s="204">
        <f>IF('Прогнозные отчеты'!F$19=0,0,'Прогнозные отчеты'!F16/'Прогнозные отчеты'!F$19)</f>
        <v>0.61447703744970783</v>
      </c>
      <c r="G16" s="204">
        <f>IF('Прогнозные отчеты'!G$19=0,0,'Прогнозные отчеты'!G16/'Прогнозные отчеты'!G$19)</f>
        <v>0.70338187075783043</v>
      </c>
    </row>
    <row r="17" spans="1:8" x14ac:dyDescent="0.2">
      <c r="A17" s="171" t="s">
        <v>438</v>
      </c>
      <c r="B17" s="80"/>
      <c r="C17" s="205">
        <f>IF('Прогнозные отчеты'!C$19=0,0,'Прогнозные отчеты'!C17/'Прогнозные отчеты'!C$19)</f>
        <v>0.99250012861534642</v>
      </c>
      <c r="D17" s="205">
        <f>IF('Прогнозные отчеты'!D$19=0,0,'Прогнозные отчеты'!D17/'Прогнозные отчеты'!D$19)</f>
        <v>0.99208895780932105</v>
      </c>
      <c r="E17" s="205">
        <f>IF('Прогнозные отчеты'!E$19=0,0,'Прогнозные отчеты'!E17/'Прогнозные отчеты'!E$19)</f>
        <v>0.99578790275006779</v>
      </c>
      <c r="F17" s="205">
        <f>IF('Прогнозные отчеты'!F$19=0,0,'Прогнозные отчеты'!F17/'Прогнозные отчеты'!F$19)</f>
        <v>0.99786403179609706</v>
      </c>
      <c r="G17" s="205">
        <f>IF('Прогнозные отчеты'!G$19=0,0,'Прогнозные отчеты'!G17/'Прогнозные отчеты'!G$19)</f>
        <v>0.99869452453985563</v>
      </c>
    </row>
    <row r="18" spans="1:8" x14ac:dyDescent="0.2">
      <c r="A18" s="168"/>
      <c r="B18" s="168"/>
      <c r="C18" s="222"/>
      <c r="D18" s="222"/>
      <c r="E18" s="222"/>
      <c r="F18" s="222"/>
      <c r="G18" s="222"/>
      <c r="H18" s="170"/>
    </row>
    <row r="19" spans="1:8" x14ac:dyDescent="0.2">
      <c r="A19" s="160" t="s">
        <v>443</v>
      </c>
      <c r="B19" s="80"/>
      <c r="C19" s="205">
        <f>IF('Прогнозные отчеты'!C$19=0,0,'Прогнозные отчеты'!C19/'Прогнозные отчеты'!C$19)</f>
        <v>1</v>
      </c>
      <c r="D19" s="205">
        <f>IF('Прогнозные отчеты'!D$19=0,0,'Прогнозные отчеты'!D19/'Прогнозные отчеты'!D$19)</f>
        <v>1</v>
      </c>
      <c r="E19" s="205">
        <f>IF('Прогнозные отчеты'!E$19=0,0,'Прогнозные отчеты'!E19/'Прогнозные отчеты'!E$19)</f>
        <v>1</v>
      </c>
      <c r="F19" s="205">
        <f>IF('Прогнозные отчеты'!F$19=0,0,'Прогнозные отчеты'!F19/'Прогнозные отчеты'!F$19)</f>
        <v>1</v>
      </c>
      <c r="G19" s="205">
        <f>IF('Прогнозные отчеты'!G$19=0,0,'Прогнозные отчеты'!G19/'Прогнозные отчеты'!G$19)</f>
        <v>1</v>
      </c>
    </row>
    <row r="20" spans="1:8" x14ac:dyDescent="0.2">
      <c r="A20" s="158"/>
      <c r="B20" s="158"/>
      <c r="C20" s="164"/>
      <c r="D20" s="164"/>
      <c r="E20" s="164"/>
      <c r="F20" s="164"/>
      <c r="G20" s="164"/>
    </row>
    <row r="21" spans="1:8" x14ac:dyDescent="0.2">
      <c r="A21" s="158"/>
      <c r="B21" s="158"/>
    </row>
    <row r="22" spans="1:8" x14ac:dyDescent="0.2">
      <c r="A22" s="185" t="s">
        <v>222</v>
      </c>
      <c r="B22" s="135"/>
      <c r="C22" s="62"/>
      <c r="D22" s="62"/>
      <c r="E22" s="62"/>
      <c r="F22" s="63"/>
      <c r="G22" s="62"/>
    </row>
    <row r="23" spans="1:8" x14ac:dyDescent="0.2">
      <c r="A23" s="25" t="s">
        <v>200</v>
      </c>
      <c r="B23" s="158"/>
      <c r="C23" s="170"/>
      <c r="D23" s="170"/>
      <c r="E23" s="170"/>
      <c r="F23" s="170"/>
      <c r="G23" s="170"/>
    </row>
    <row r="24" spans="1:8" x14ac:dyDescent="0.2">
      <c r="A24" s="209" t="s">
        <v>318</v>
      </c>
      <c r="B24" s="80"/>
      <c r="C24" s="224">
        <f>IF('Прогнозные отчеты'!C$41=0,0,'Прогнозные отчеты'!C24/'Прогнозные отчеты'!C$41)</f>
        <v>2.8060041494164518E-3</v>
      </c>
      <c r="D24" s="224">
        <f>IF('Прогнозные отчеты'!D$41=0,0,'Прогнозные отчеты'!D24/'Прогнозные отчеты'!D$41)</f>
        <v>1.1782369748178719E-3</v>
      </c>
      <c r="E24" s="224">
        <f>IF('Прогнозные отчеты'!E$41=0,0,'Прогнозные отчеты'!E24/'Прогнозные отчеты'!E$41)</f>
        <v>6.0625050921323052E-4</v>
      </c>
      <c r="F24" s="224">
        <f>IF('Прогнозные отчеты'!F$41=0,0,'Прогнозные отчеты'!F24/'Прогнозные отчеты'!F$41)</f>
        <v>3.6471687826945538E-4</v>
      </c>
      <c r="G24" s="224">
        <f>IF('Прогнозные отчеты'!G$41=0,0,'Прогнозные отчеты'!G24/'Прогнозные отчеты'!G$41)</f>
        <v>2.3527089048159627E-4</v>
      </c>
    </row>
    <row r="25" spans="1:8" x14ac:dyDescent="0.2">
      <c r="A25" s="209" t="s">
        <v>191</v>
      </c>
      <c r="B25" s="80"/>
      <c r="C25" s="224">
        <f>IF('Прогнозные отчеты'!C$41=0,0,'Прогнозные отчеты'!C25/'Прогнозные отчеты'!C$41)</f>
        <v>1.6505906761273247E-2</v>
      </c>
      <c r="D25" s="224">
        <f>IF('Прогнозные отчеты'!D$41=0,0,'Прогнозные отчеты'!D25/'Прогнозные отчеты'!D$41)</f>
        <v>1.3861611468445551E-2</v>
      </c>
      <c r="E25" s="224">
        <f>IF('Прогнозные отчеты'!E$41=0,0,'Прогнозные отчеты'!E25/'Прогнозные отчеты'!E$41)</f>
        <v>5.5113682655748234E-3</v>
      </c>
      <c r="F25" s="224">
        <f>IF('Прогнозные отчеты'!F$41=0,0,'Прогнозные отчеты'!F25/'Прогнозные отчеты'!F$41)</f>
        <v>2.7016065056996697E-3</v>
      </c>
      <c r="G25" s="224">
        <f>IF('Прогнозные отчеты'!G$41=0,0,'Прогнозные отчеты'!G25/'Прогнозные отчеты'!G$41)</f>
        <v>1.7427473369007131E-3</v>
      </c>
    </row>
    <row r="26" spans="1:8" x14ac:dyDescent="0.2">
      <c r="A26" s="209" t="s">
        <v>76</v>
      </c>
      <c r="B26" s="80"/>
      <c r="C26" s="224">
        <f>IF('Прогнозные отчеты'!C$41=0,0,'Прогнозные отчеты'!C26/'Прогнозные отчеты'!C$41)</f>
        <v>0.61962137868645806</v>
      </c>
      <c r="D26" s="224">
        <f>IF('Прогнозные отчеты'!D$41=0,0,'Прогнозные отчеты'!D26/'Прогнозные отчеты'!D$41)</f>
        <v>0.98496046207847954</v>
      </c>
      <c r="E26" s="224">
        <f>IF('Прогнозные отчеты'!E$41=0,0,'Прогнозные отчеты'!E26/'Прогнозные отчеты'!E$41)</f>
        <v>0.99388253555428152</v>
      </c>
      <c r="F26" s="224">
        <f>IF('Прогнозные отчеты'!F$41=0,0,'Прогнозные отчеты'!F26/'Прогнозные отчеты'!F$41)</f>
        <v>1.0390933855355564</v>
      </c>
      <c r="G26" s="224">
        <f>IF('Прогнозные отчеты'!G$41=0,0,'Прогнозные отчеты'!G26/'Прогнозные отчеты'!G$41)</f>
        <v>1.0320173657640515</v>
      </c>
    </row>
    <row r="27" spans="1:8" s="161" customFormat="1" x14ac:dyDescent="0.2">
      <c r="A27" s="161" t="s">
        <v>239</v>
      </c>
      <c r="B27" s="80"/>
      <c r="C27" s="225">
        <f>IF('Прогнозные отчеты'!C$41=0,0,'Прогнозные отчеты'!C27/'Прогнозные отчеты'!C$41)</f>
        <v>0.63893328959714779</v>
      </c>
      <c r="D27" s="225">
        <f>IF('Прогнозные отчеты'!D$41=0,0,'Прогнозные отчеты'!D27/'Прогнозные отчеты'!D$41)</f>
        <v>1.000000310521743</v>
      </c>
      <c r="E27" s="225">
        <f>IF('Прогнозные отчеты'!E$41=0,0,'Прогнозные отчеты'!E27/'Прогнозные отчеты'!E$41)</f>
        <v>1.0000001543290695</v>
      </c>
      <c r="F27" s="225">
        <f>IF('Прогнозные отчеты'!F$41=0,0,'Прогнозные отчеты'!F27/'Прогнозные отчеты'!F$41)</f>
        <v>1.0421597089195256</v>
      </c>
      <c r="G27" s="225">
        <f>IF('Прогнозные отчеты'!G$41=0,0,'Прогнозные отчеты'!G27/'Прогнозные отчеты'!G$41)</f>
        <v>1.0339953839914338</v>
      </c>
    </row>
    <row r="28" spans="1:8" x14ac:dyDescent="0.2">
      <c r="A28" s="158"/>
      <c r="B28" s="158"/>
      <c r="C28" s="223"/>
      <c r="D28" s="223"/>
      <c r="E28" s="223"/>
      <c r="F28" s="223"/>
      <c r="G28" s="223"/>
    </row>
    <row r="29" spans="1:8" x14ac:dyDescent="0.2">
      <c r="A29" s="25" t="s">
        <v>440</v>
      </c>
      <c r="B29" s="158"/>
      <c r="C29" s="223"/>
      <c r="D29" s="223"/>
      <c r="E29" s="223"/>
      <c r="F29" s="223"/>
      <c r="G29" s="223"/>
    </row>
    <row r="30" spans="1:8" x14ac:dyDescent="0.2">
      <c r="A30" s="209" t="s">
        <v>338</v>
      </c>
      <c r="B30" s="80"/>
      <c r="C30" s="224">
        <f>IF('Прогнозные отчеты'!C$41=0,0,'Прогнозные отчеты'!C30/'Прогнозные отчеты'!C$41)</f>
        <v>0.28885336832228181</v>
      </c>
      <c r="D30" s="224">
        <f>IF('Прогнозные отчеты'!D$41=0,0,'Прогнозные отчеты'!D30/'Прогнозные отчеты'!D$41)</f>
        <v>0</v>
      </c>
      <c r="E30" s="224">
        <f>IF('Прогнозные отчеты'!E$41=0,0,'Прогнозные отчеты'!E30/'Прогнозные отчеты'!E$41)</f>
        <v>0</v>
      </c>
      <c r="F30" s="224">
        <f>IF('Прогнозные отчеты'!F$41=0,0,'Прогнозные отчеты'!F30/'Прогнозные отчеты'!F$41)</f>
        <v>0</v>
      </c>
      <c r="G30" s="224">
        <f>IF('Прогнозные отчеты'!G$41=0,0,'Прогнозные отчеты'!G30/'Прогнозные отчеты'!G$41)</f>
        <v>0</v>
      </c>
    </row>
    <row r="31" spans="1:8" s="161" customFormat="1" x14ac:dyDescent="0.2">
      <c r="A31" s="161" t="s">
        <v>441</v>
      </c>
      <c r="B31" s="80"/>
      <c r="C31" s="225">
        <f>IF('Прогнозные отчеты'!C$41=0,0,'Прогнозные отчеты'!C31/'Прогнозные отчеты'!C$41)</f>
        <v>0.28885336832228181</v>
      </c>
      <c r="D31" s="225">
        <f>IF('Прогнозные отчеты'!D$41=0,0,'Прогнозные отчеты'!D31/'Прогнозные отчеты'!D$41)</f>
        <v>0</v>
      </c>
      <c r="E31" s="225">
        <f>IF('Прогнозные отчеты'!E$41=0,0,'Прогнозные отчеты'!E31/'Прогнозные отчеты'!E$41)</f>
        <v>0</v>
      </c>
      <c r="F31" s="225">
        <f>IF('Прогнозные отчеты'!F$41=0,0,'Прогнозные отчеты'!F31/'Прогнозные отчеты'!F$41)</f>
        <v>0</v>
      </c>
      <c r="G31" s="225">
        <f>IF('Прогнозные отчеты'!G$41=0,0,'Прогнозные отчеты'!G31/'Прогнозные отчеты'!G$41)</f>
        <v>0</v>
      </c>
    </row>
    <row r="32" spans="1:8" x14ac:dyDescent="0.2">
      <c r="A32" s="186"/>
      <c r="B32" s="80"/>
      <c r="C32" s="223"/>
      <c r="D32" s="223"/>
      <c r="E32" s="223"/>
      <c r="F32" s="223"/>
      <c r="G32" s="223"/>
    </row>
    <row r="33" spans="1:8" x14ac:dyDescent="0.2">
      <c r="A33" s="25" t="s">
        <v>442</v>
      </c>
      <c r="B33" s="80"/>
      <c r="C33" s="223"/>
      <c r="D33" s="223"/>
      <c r="E33" s="223"/>
      <c r="F33" s="223"/>
      <c r="G33" s="223"/>
    </row>
    <row r="34" spans="1:8" x14ac:dyDescent="0.2">
      <c r="A34" s="209" t="s">
        <v>333</v>
      </c>
      <c r="B34" s="80"/>
      <c r="C34" s="224">
        <f>IF('Прогнозные отчеты'!C$41=0,0,'Прогнозные отчеты'!C34/'Прогнозные отчеты'!C$41)</f>
        <v>0</v>
      </c>
      <c r="D34" s="224">
        <f>IF('Прогнозные отчеты'!D$41=0,0,'Прогнозные отчеты'!D34/'Прогнозные отчеты'!D$41)</f>
        <v>0</v>
      </c>
      <c r="E34" s="224">
        <f>IF('Прогнозные отчеты'!E$41=0,0,'Прогнозные отчеты'!E34/'Прогнозные отчеты'!E$41)</f>
        <v>0</v>
      </c>
      <c r="F34" s="224">
        <f>IF('Прогнозные отчеты'!F$41=0,0,'Прогнозные отчеты'!F34/'Прогнозные отчеты'!F$41)</f>
        <v>0</v>
      </c>
      <c r="G34" s="224">
        <f>IF('Прогнозные отчеты'!G$41=0,0,'Прогнозные отчеты'!G34/'Прогнозные отчеты'!G$41)</f>
        <v>0</v>
      </c>
    </row>
    <row r="35" spans="1:8" x14ac:dyDescent="0.2">
      <c r="A35" s="207" t="s">
        <v>317</v>
      </c>
      <c r="B35" s="80"/>
      <c r="C35" s="224">
        <f>IF('Прогнозные отчеты'!C$41=0,0,'Прогнозные отчеты'!C35/'Прогнозные отчеты'!C$41)</f>
        <v>0</v>
      </c>
      <c r="D35" s="224">
        <f>IF('Прогнозные отчеты'!D$41=0,0,'Прогнозные отчеты'!D35/'Прогнозные отчеты'!D$41)</f>
        <v>0</v>
      </c>
      <c r="E35" s="224">
        <f>IF('Прогнозные отчеты'!E$41=0,0,'Прогнозные отчеты'!E35/'Прогнозные отчеты'!E$41)</f>
        <v>0</v>
      </c>
      <c r="F35" s="224">
        <f>IF('Прогнозные отчеты'!F$41=0,0,'Прогнозные отчеты'!F35/'Прогнозные отчеты'!F$41)</f>
        <v>0</v>
      </c>
      <c r="G35" s="224">
        <f>IF('Прогнозные отчеты'!G$41=0,0,'Прогнозные отчеты'!G35/'Прогнозные отчеты'!G$41)</f>
        <v>0</v>
      </c>
    </row>
    <row r="36" spans="1:8" x14ac:dyDescent="0.2">
      <c r="A36" s="207" t="s">
        <v>332</v>
      </c>
      <c r="B36" s="80"/>
      <c r="C36" s="224">
        <f>IF('Прогнозные отчеты'!C$41=0,0,'Прогнозные отчеты'!C36/'Прогнозные отчеты'!C$41)</f>
        <v>0</v>
      </c>
      <c r="D36" s="224">
        <f>IF('Прогнозные отчеты'!D$41=0,0,'Прогнозные отчеты'!D36/'Прогнозные отчеты'!D$41)</f>
        <v>0</v>
      </c>
      <c r="E36" s="224">
        <f>IF('Прогнозные отчеты'!E$41=0,0,'Прогнозные отчеты'!E36/'Прогнозные отчеты'!E$41)</f>
        <v>0</v>
      </c>
      <c r="F36" s="224">
        <f>IF('Прогнозные отчеты'!F$41=0,0,'Прогнозные отчеты'!F36/'Прогнозные отчеты'!F$41)</f>
        <v>0</v>
      </c>
      <c r="G36" s="224">
        <f>IF('Прогнозные отчеты'!G$41=0,0,'Прогнозные отчеты'!G36/'Прогнозные отчеты'!G$41)</f>
        <v>0</v>
      </c>
    </row>
    <row r="37" spans="1:8" x14ac:dyDescent="0.2">
      <c r="A37" s="207" t="s">
        <v>334</v>
      </c>
      <c r="B37" s="80"/>
      <c r="C37" s="224">
        <f>IF('Прогнозные отчеты'!C$41=0,0,'Прогнозные отчеты'!C37/'Прогнозные отчеты'!C$41)</f>
        <v>0</v>
      </c>
      <c r="D37" s="224">
        <f>IF('Прогнозные отчеты'!D$41=0,0,'Прогнозные отчеты'!D37/'Прогнозные отчеты'!D$41)</f>
        <v>0</v>
      </c>
      <c r="E37" s="224">
        <f>IF('Прогнозные отчеты'!E$41=0,0,'Прогнозные отчеты'!E37/'Прогнозные отчеты'!E$41)</f>
        <v>0</v>
      </c>
      <c r="F37" s="224">
        <f>IF('Прогнозные отчеты'!F$41=0,0,'Прогнозные отчеты'!F37/'Прогнозные отчеты'!F$41)</f>
        <v>0</v>
      </c>
      <c r="G37" s="224">
        <f>IF('Прогнозные отчеты'!G$41=0,0,'Прогнозные отчеты'!G37/'Прогнозные отчеты'!G$41)</f>
        <v>0</v>
      </c>
    </row>
    <row r="38" spans="1:8" x14ac:dyDescent="0.2">
      <c r="A38" s="207" t="s">
        <v>424</v>
      </c>
      <c r="B38" s="80"/>
      <c r="C38" s="224">
        <f>IF('Прогнозные отчеты'!C$41=0,0,'Прогнозные отчеты'!C38/'Прогнозные отчеты'!C$41)</f>
        <v>7.2213342080570397E-2</v>
      </c>
      <c r="D38" s="224">
        <f>IF('Прогнозные отчеты'!D$41=0,0,'Прогнозные отчеты'!D38/'Прогнозные отчеты'!D$41)</f>
        <v>-3.105217429456068E-7</v>
      </c>
      <c r="E38" s="224">
        <f>IF('Прогнозные отчеты'!E$41=0,0,'Прогнозные отчеты'!E38/'Прогнозные отчеты'!E$41)</f>
        <v>-1.5432906950764841E-7</v>
      </c>
      <c r="F38" s="224">
        <f>IF('Прогнозные отчеты'!F$41=0,0,'Прогнозные отчеты'!F38/'Прогнозные отчеты'!F$41)</f>
        <v>-4.2159708919525585E-2</v>
      </c>
      <c r="G38" s="224">
        <f>IF('Прогнозные отчеты'!G$41=0,0,'Прогнозные отчеты'!G38/'Прогнозные отчеты'!G$41)</f>
        <v>-3.3995383991433654E-2</v>
      </c>
    </row>
    <row r="39" spans="1:8" x14ac:dyDescent="0.2">
      <c r="A39" s="167" t="s">
        <v>442</v>
      </c>
      <c r="B39" s="80"/>
      <c r="C39" s="225">
        <f>IF('Прогнозные отчеты'!C$41=0,0,'Прогнозные отчеты'!C39/'Прогнозные отчеты'!C$41)</f>
        <v>7.2213342080570397E-2</v>
      </c>
      <c r="D39" s="225">
        <f>IF('Прогнозные отчеты'!D$41=0,0,'Прогнозные отчеты'!D39/'Прогнозные отчеты'!D$41)</f>
        <v>-3.105217429456068E-7</v>
      </c>
      <c r="E39" s="225">
        <f>IF('Прогнозные отчеты'!E$41=0,0,'Прогнозные отчеты'!E39/'Прогнозные отчеты'!E$41)</f>
        <v>-1.5432906950764841E-7</v>
      </c>
      <c r="F39" s="225">
        <f>IF('Прогнозные отчеты'!F$41=0,0,'Прогнозные отчеты'!F39/'Прогнозные отчеты'!F$41)</f>
        <v>-4.2159708919525585E-2</v>
      </c>
      <c r="G39" s="225">
        <f>IF('Прогнозные отчеты'!G$41=0,0,'Прогнозные отчеты'!G39/'Прогнозные отчеты'!G$41)</f>
        <v>-3.3995383991433654E-2</v>
      </c>
    </row>
    <row r="40" spans="1:8" x14ac:dyDescent="0.2">
      <c r="A40" s="168"/>
      <c r="B40" s="168"/>
      <c r="C40" s="223"/>
      <c r="D40" s="223"/>
      <c r="E40" s="223"/>
      <c r="F40" s="223"/>
      <c r="G40" s="223"/>
    </row>
    <row r="41" spans="1:8" s="188" customFormat="1" x14ac:dyDescent="0.2">
      <c r="A41" s="171" t="s">
        <v>444</v>
      </c>
      <c r="B41" s="80"/>
      <c r="C41" s="225">
        <f>IF('Прогнозные отчеты'!C$41=0,0,'Прогнозные отчеты'!C41/'Прогнозные отчеты'!C$41)</f>
        <v>1</v>
      </c>
      <c r="D41" s="225">
        <f>IF('Прогнозные отчеты'!D$41=0,0,'Прогнозные отчеты'!D41/'Прогнозные отчеты'!D$41)</f>
        <v>1</v>
      </c>
      <c r="E41" s="225">
        <f>IF('Прогнозные отчеты'!E$41=0,0,'Прогнозные отчеты'!E41/'Прогнозные отчеты'!E$41)</f>
        <v>1</v>
      </c>
      <c r="F41" s="225">
        <f>IF('Прогнозные отчеты'!F$41=0,0,'Прогнозные отчеты'!F41/'Прогнозные отчеты'!F$41)</f>
        <v>1</v>
      </c>
      <c r="G41" s="225">
        <f>IF('Прогнозные отчеты'!G$41=0,0,'Прогнозные отчеты'!G41/'Прогнозные отчеты'!G$41)</f>
        <v>1</v>
      </c>
    </row>
    <row r="42" spans="1:8" ht="13.5" customHeight="1" x14ac:dyDescent="0.2">
      <c r="A42" s="168"/>
      <c r="B42" s="168"/>
      <c r="C42" s="164"/>
      <c r="D42" s="164"/>
      <c r="E42" s="164"/>
      <c r="F42" s="164"/>
      <c r="G42" s="164"/>
    </row>
    <row r="43" spans="1:8" x14ac:dyDescent="0.2">
      <c r="A43" s="168"/>
      <c r="B43" s="168"/>
      <c r="C43" s="176"/>
      <c r="D43" s="177"/>
      <c r="E43" s="177"/>
      <c r="F43" s="177"/>
      <c r="G43" s="177"/>
    </row>
    <row r="44" spans="1:8" x14ac:dyDescent="0.2">
      <c r="C44" s="170"/>
      <c r="D44" s="170"/>
      <c r="E44" s="170"/>
      <c r="F44" s="170"/>
      <c r="G44" s="170"/>
    </row>
    <row r="45" spans="1:8" x14ac:dyDescent="0.2">
      <c r="A45" s="11" t="s">
        <v>458</v>
      </c>
      <c r="B45" s="11"/>
      <c r="C45" s="214">
        <f>Окружение!D4</f>
        <v>2014</v>
      </c>
      <c r="D45" s="215">
        <f>C45+1</f>
        <v>2015</v>
      </c>
      <c r="E45" s="216">
        <f>D45+1</f>
        <v>2016</v>
      </c>
      <c r="F45" s="217">
        <f>E45+1</f>
        <v>2017</v>
      </c>
      <c r="G45" s="218">
        <f>F45+1</f>
        <v>2018</v>
      </c>
      <c r="H45" s="20"/>
    </row>
    <row r="46" spans="1:8" x14ac:dyDescent="0.2">
      <c r="A46" s="190"/>
      <c r="B46" s="190"/>
      <c r="C46" s="170"/>
      <c r="D46" s="170"/>
      <c r="E46" s="170"/>
      <c r="F46" s="170"/>
      <c r="G46" s="170"/>
    </row>
    <row r="47" spans="1:8" x14ac:dyDescent="0.2">
      <c r="A47" s="191" t="s">
        <v>157</v>
      </c>
      <c r="B47" s="80"/>
      <c r="C47" s="225">
        <f>IF('Прогнозные отчеты'!C$49=0,0,'Прогнозные отчеты'!C49/'Прогнозные отчеты'!C$49)</f>
        <v>1</v>
      </c>
      <c r="D47" s="225">
        <f>IF('Прогнозные отчеты'!D$49=0,0,'Прогнозные отчеты'!D49/'Прогнозные отчеты'!D$49)</f>
        <v>1</v>
      </c>
      <c r="E47" s="225">
        <f>IF('Прогнозные отчеты'!E$49=0,0,'Прогнозные отчеты'!E49/'Прогнозные отчеты'!E$49)</f>
        <v>1</v>
      </c>
      <c r="F47" s="225">
        <f>IF('Прогнозные отчеты'!F$49=0,0,'Прогнозные отчеты'!F49/'Прогнозные отчеты'!F$49)</f>
        <v>1</v>
      </c>
      <c r="G47" s="225">
        <f>IF('Прогнозные отчеты'!G$49=0,0,'Прогнозные отчеты'!G49/'Прогнозные отчеты'!G$49)</f>
        <v>1</v>
      </c>
    </row>
    <row r="48" spans="1:8" x14ac:dyDescent="0.2">
      <c r="A48" s="191"/>
      <c r="B48" s="80"/>
      <c r="C48" s="223"/>
      <c r="D48" s="223"/>
      <c r="E48" s="223"/>
      <c r="F48" s="223"/>
      <c r="G48" s="223"/>
    </row>
    <row r="49" spans="1:7" x14ac:dyDescent="0.2">
      <c r="A49" s="191" t="s">
        <v>446</v>
      </c>
      <c r="B49" s="80"/>
      <c r="C49" s="224">
        <f>IF('Прогнозные отчеты'!C$49=0,0,'Прогнозные отчеты'!C51/'Прогнозные отчеты'!C$49)</f>
        <v>-0.43234179233444392</v>
      </c>
      <c r="D49" s="224">
        <f>IF('Прогнозные отчеты'!D$49=0,0,'Прогнозные отчеты'!D51/'Прогнозные отчеты'!D$49)</f>
        <v>-0.53350121581380139</v>
      </c>
      <c r="E49" s="224">
        <f>IF('Прогнозные отчеты'!E$49=0,0,'Прогнозные отчеты'!E51/'Прогнозные отчеты'!E$49)</f>
        <v>-0.520828421602469</v>
      </c>
      <c r="F49" s="224">
        <f>IF('Прогнозные отчеты'!F$49=0,0,'Прогнозные отчеты'!F51/'Прогнозные отчеты'!F$49)</f>
        <v>-0.47446007207376828</v>
      </c>
      <c r="G49" s="224">
        <f>IF('Прогнозные отчеты'!G$49=0,0,'Прогнозные отчеты'!G51/'Прогнозные отчеты'!G$49)</f>
        <v>-0.51979474585790741</v>
      </c>
    </row>
    <row r="50" spans="1:7" x14ac:dyDescent="0.2">
      <c r="A50" s="220" t="s">
        <v>447</v>
      </c>
      <c r="B50" s="80"/>
      <c r="C50" s="226">
        <f>IF('Прогнозные отчеты'!C$49=0,0,'Прогнозные отчеты'!C52/'Прогнозные отчеты'!C$49)</f>
        <v>-0.33520938824023894</v>
      </c>
      <c r="D50" s="226">
        <f>IF('Прогнозные отчеты'!D$49=0,0,'Прогнозные отчеты'!D52/'Прогнозные отчеты'!D$49)</f>
        <v>-0.47115675673055357</v>
      </c>
      <c r="E50" s="226">
        <f>IF('Прогнозные отчеты'!E$49=0,0,'Прогнозные отчеты'!E52/'Прогнозные отчеты'!E$49)</f>
        <v>-0.48873328395396815</v>
      </c>
      <c r="F50" s="226">
        <f>IF('Прогнозные отчеты'!F$49=0,0,'Прогнозные отчеты'!F52/'Прогнозные отчеты'!F$49)</f>
        <v>-0.45301626378321841</v>
      </c>
      <c r="G50" s="226">
        <f>IF('Прогнозные отчеты'!G$49=0,0,'Прогнозные отчеты'!G52/'Прогнозные отчеты'!G$49)</f>
        <v>-0.5005822176436987</v>
      </c>
    </row>
    <row r="51" spans="1:7" x14ac:dyDescent="0.2">
      <c r="A51" s="220" t="s">
        <v>257</v>
      </c>
      <c r="B51" s="80"/>
      <c r="C51" s="226">
        <f>IF('Прогнозные отчеты'!C$49=0,0,'Прогнозные отчеты'!C53/'Прогнозные отчеты'!C$49)</f>
        <v>-4.9906468476917265E-2</v>
      </c>
      <c r="D51" s="226">
        <f>IF('Прогнозные отчеты'!D$49=0,0,'Прогнозные отчеты'!D53/'Прогнозные отчеты'!D$49)</f>
        <v>-3.5561002739719356E-2</v>
      </c>
      <c r="E51" s="226">
        <f>IF('Прогнозные отчеты'!E$49=0,0,'Прогнозные отчеты'!E53/'Прогнозные отчеты'!E$49)</f>
        <v>-1.8303553728476467E-2</v>
      </c>
      <c r="F51" s="226">
        <f>IF('Прогнозные отчеты'!F$49=0,0,'Прогнозные отчеты'!F53/'Прогнозные отчеты'!F$49)</f>
        <v>-1.2182206453777376E-2</v>
      </c>
      <c r="G51" s="226">
        <f>IF('Прогнозные отчеты'!G$49=0,0,'Прогнозные отчеты'!G53/'Прогнозные отчеты'!G$49)</f>
        <v>-1.0916717597495443E-2</v>
      </c>
    </row>
    <row r="52" spans="1:7" ht="12" customHeight="1" x14ac:dyDescent="0.2">
      <c r="A52" s="220" t="s">
        <v>448</v>
      </c>
      <c r="B52" s="80"/>
      <c r="C52" s="226">
        <f>IF('Прогнозные отчеты'!C$49=0,0,'Прогнозные отчеты'!C54/'Прогнозные отчеты'!C$49)</f>
        <v>-1.6968199282151871E-2</v>
      </c>
      <c r="D52" s="226">
        <f>IF('Прогнозные отчеты'!D$49=0,0,'Прогнозные отчеты'!D54/'Прогнозные отчеты'!D$49)</f>
        <v>-1.2090740931504581E-2</v>
      </c>
      <c r="E52" s="226">
        <f>IF('Прогнозные отчеты'!E$49=0,0,'Прогнозные отчеты'!E54/'Прогнозные отчеты'!E$49)</f>
        <v>-6.2232082676819981E-3</v>
      </c>
      <c r="F52" s="226">
        <f>IF('Прогнозные отчеты'!F$49=0,0,'Прогнозные отчеты'!F54/'Прогнозные отчеты'!F$49)</f>
        <v>-4.1419501942843084E-3</v>
      </c>
      <c r="G52" s="226">
        <f>IF('Прогнозные отчеты'!G$49=0,0,'Прогнозные отчеты'!G54/'Прогнозные отчеты'!G$49)</f>
        <v>-3.7116839831484514E-3</v>
      </c>
    </row>
    <row r="53" spans="1:7" x14ac:dyDescent="0.2">
      <c r="A53" s="220" t="s">
        <v>381</v>
      </c>
      <c r="B53" s="80"/>
      <c r="C53" s="226">
        <f>IF('Прогнозные отчеты'!C$49=0,0,'Прогнозные отчеты'!C55/'Прогнозные отчеты'!C$49)</f>
        <v>-3.0255495989554012E-2</v>
      </c>
      <c r="D53" s="226">
        <f>IF('Прогнозные отчеты'!D$49=0,0,'Прогнозные отчеты'!D55/'Прогнозные отчеты'!D$49)</f>
        <v>-1.4691974003773194E-2</v>
      </c>
      <c r="E53" s="226">
        <f>IF('Прогнозные отчеты'!E$49=0,0,'Прогнозные отчеты'!E55/'Прогнозные отчеты'!E$49)</f>
        <v>-7.5620852854939606E-3</v>
      </c>
      <c r="F53" s="226">
        <f>IF('Прогнозные отчеты'!F$49=0,0,'Прогнозные отчеты'!F55/'Прогнозные отчеты'!F$49)</f>
        <v>-5.0330600022025062E-3</v>
      </c>
      <c r="G53" s="226">
        <f>IF('Прогнозные отчеты'!G$49=0,0,'Прогнозные отчеты'!G55/'Прогнозные отчеты'!G$49)</f>
        <v>-4.510225212794497E-3</v>
      </c>
    </row>
    <row r="54" spans="1:7" x14ac:dyDescent="0.2">
      <c r="A54" s="220" t="s">
        <v>154</v>
      </c>
      <c r="B54" s="80"/>
      <c r="C54" s="226">
        <f>IF('Прогнозные отчеты'!C$49=0,0,'Прогнозные отчеты'!C56/'Прогнозные отчеты'!C$49)</f>
        <v>-2.2403455817656839E-6</v>
      </c>
      <c r="D54" s="226">
        <f>IF('Прогнозные отчеты'!D$49=0,0,'Прогнозные отчеты'!D56/'Прогнозные отчеты'!D$49)</f>
        <v>-7.4140825072351741E-7</v>
      </c>
      <c r="E54" s="226">
        <f>IF('Прогнозные отчеты'!E$49=0,0,'Прогнозные отчеты'!E56/'Прогнозные отчеты'!E$49)</f>
        <v>-6.2903668483296025E-6</v>
      </c>
      <c r="F54" s="226">
        <f>IF('Прогнозные отчеты'!F$49=0,0,'Прогнозные отчеты'!F56/'Прогнозные отчеты'!F$49)</f>
        <v>-8.6591640285708918E-5</v>
      </c>
      <c r="G54" s="226">
        <f>IF('Прогнозные отчеты'!G$49=0,0,'Прогнозные отчеты'!G56/'Прогнозные отчеты'!G$49)</f>
        <v>-7.3901420770234664E-5</v>
      </c>
    </row>
    <row r="55" spans="1:7" x14ac:dyDescent="0.2">
      <c r="A55" s="192"/>
      <c r="B55" s="80"/>
      <c r="C55" s="223"/>
      <c r="D55" s="223"/>
      <c r="E55" s="223"/>
      <c r="F55" s="223"/>
      <c r="G55" s="223"/>
    </row>
    <row r="56" spans="1:7" s="161" customFormat="1" x14ac:dyDescent="0.2">
      <c r="A56" s="193" t="s">
        <v>20</v>
      </c>
      <c r="B56" s="80"/>
      <c r="C56" s="225">
        <f>IF('Прогнозные отчеты'!C$49=0,0,'Прогнозные отчеты'!C58/'Прогнозные отчеты'!C$49)</f>
        <v>0.56765820766555608</v>
      </c>
      <c r="D56" s="225">
        <f>IF('Прогнозные отчеты'!D$49=0,0,'Прогнозные отчеты'!D58/'Прогнозные отчеты'!D$49)</f>
        <v>0.46649878418619856</v>
      </c>
      <c r="E56" s="225">
        <f>IF('Прогнозные отчеты'!E$49=0,0,'Прогнозные отчеты'!E58/'Прогнозные отчеты'!E$49)</f>
        <v>0.47917157839753105</v>
      </c>
      <c r="F56" s="225">
        <f>IF('Прогнозные отчеты'!F$49=0,0,'Прогнозные отчеты'!F58/'Прогнозные отчеты'!F$49)</f>
        <v>0.52553992792623172</v>
      </c>
      <c r="G56" s="225">
        <f>IF('Прогнозные отчеты'!G$49=0,0,'Прогнозные отчеты'!G58/'Прогнозные отчеты'!G$49)</f>
        <v>0.48020525414209264</v>
      </c>
    </row>
    <row r="57" spans="1:7" x14ac:dyDescent="0.2">
      <c r="A57" s="192"/>
      <c r="B57" s="80"/>
      <c r="C57" s="223"/>
      <c r="D57" s="223"/>
      <c r="E57" s="223"/>
      <c r="F57" s="223"/>
      <c r="G57" s="223"/>
    </row>
    <row r="58" spans="1:7" s="197" customFormat="1" x14ac:dyDescent="0.2">
      <c r="A58" s="210" t="s">
        <v>383</v>
      </c>
      <c r="B58" s="80"/>
      <c r="C58" s="224">
        <f>IF('Прогнозные отчеты'!C$49=0,0,'Прогнозные отчеты'!C60/'Прогнозные отчеты'!C$49)</f>
        <v>-5.1442052122360873E-2</v>
      </c>
      <c r="D58" s="224">
        <f>IF('Прогнозные отчеты'!D$49=0,0,'Прогнозные отчеты'!D60/'Прогнозные отчеты'!D$49)</f>
        <v>-2.7491390579552268E-2</v>
      </c>
      <c r="E58" s="224">
        <f>IF('Прогнозные отчеты'!E$49=0,0,'Прогнозные отчеты'!E60/'Прогнозные отчеты'!E$49)</f>
        <v>-1.4150054997783728E-2</v>
      </c>
      <c r="F58" s="224">
        <f>IF('Прогнозные отчеты'!F$49=0,0,'Прогнозные отчеты'!F60/'Прогнозные отчеты'!F$49)</f>
        <v>-9.4177826815740485E-3</v>
      </c>
      <c r="G58" s="224">
        <f>IF('Прогнозные отчеты'!G$49=0,0,'Прогнозные отчеты'!G60/'Прогнозные отчеты'!G$49)</f>
        <v>-8.4394624503714797E-3</v>
      </c>
    </row>
    <row r="59" spans="1:7" s="197" customFormat="1" x14ac:dyDescent="0.2">
      <c r="A59" s="210" t="s">
        <v>145</v>
      </c>
      <c r="B59" s="80"/>
      <c r="C59" s="224">
        <f>IF('Прогнозные отчеты'!C$49=0,0,'Прогнозные отчеты'!C61/'Прогнозные отчеты'!C$49)</f>
        <v>-3.1391827887182283E-2</v>
      </c>
      <c r="D59" s="224">
        <f>IF('Прогнозные отчеты'!D$49=0,0,'Прогнозные отчеты'!D61/'Прогнозные отчеты'!D$49)</f>
        <v>-1.6847079300512009E-2</v>
      </c>
      <c r="E59" s="224">
        <f>IF('Прогнозные отчеты'!E$49=0,0,'Прогнозные отчеты'!E61/'Прогнозные отчеты'!E$49)</f>
        <v>-1.2245592937427944E-2</v>
      </c>
      <c r="F59" s="224">
        <f>IF('Прогнозные отчеты'!F$49=0,0,'Прогнозные отчеты'!F61/'Прогнозные отчеты'!F$49)</f>
        <v>-8.9915047851397423E-3</v>
      </c>
      <c r="G59" s="224">
        <f>IF('Прогнозные отчеты'!G$49=0,0,'Прогнозные отчеты'!G61/'Прогнозные отчеты'!G$49)</f>
        <v>-8.0574663455538001E-3</v>
      </c>
    </row>
    <row r="60" spans="1:7" x14ac:dyDescent="0.2">
      <c r="A60" s="192"/>
      <c r="B60" s="80"/>
      <c r="C60" s="223"/>
      <c r="D60" s="223"/>
      <c r="E60" s="223"/>
      <c r="F60" s="223"/>
      <c r="G60" s="223"/>
    </row>
    <row r="61" spans="1:7" s="161" customFormat="1" x14ac:dyDescent="0.2">
      <c r="A61" s="198" t="s">
        <v>23</v>
      </c>
      <c r="B61" s="80"/>
      <c r="C61" s="225">
        <f>IF('Прогнозные отчеты'!C$49=0,0,'Прогнозные отчеты'!C63/'Прогнозные отчеты'!C$49)</f>
        <v>0.48482432765601297</v>
      </c>
      <c r="D61" s="225">
        <f>IF('Прогнозные отчеты'!D$49=0,0,'Прогнозные отчеты'!D63/'Прогнозные отчеты'!D$49)</f>
        <v>0.42216031430613432</v>
      </c>
      <c r="E61" s="225">
        <f>IF('Прогнозные отчеты'!E$49=0,0,'Прогнозные отчеты'!E63/'Прогнозные отчеты'!E$49)</f>
        <v>0.45277593046231934</v>
      </c>
      <c r="F61" s="225">
        <f>IF('Прогнозные отчеты'!F$49=0,0,'Прогнозные отчеты'!F63/'Прогнозные отчеты'!F$49)</f>
        <v>0.50713064045951795</v>
      </c>
      <c r="G61" s="225">
        <f>IF('Прогнозные отчеты'!G$49=0,0,'Прогнозные отчеты'!G63/'Прогнозные отчеты'!G$49)</f>
        <v>0.46370832534616735</v>
      </c>
    </row>
    <row r="62" spans="1:7" x14ac:dyDescent="0.2">
      <c r="A62" s="192"/>
      <c r="B62" s="80"/>
      <c r="C62" s="223"/>
      <c r="D62" s="223"/>
      <c r="E62" s="223"/>
      <c r="F62" s="223"/>
      <c r="G62" s="223"/>
    </row>
    <row r="63" spans="1:7" s="197" customFormat="1" ht="12" customHeight="1" x14ac:dyDescent="0.2">
      <c r="A63" s="210" t="s">
        <v>449</v>
      </c>
      <c r="B63" s="80"/>
      <c r="C63" s="224">
        <f>IF('Прогнозные отчеты'!C$49=0,0,'Прогнозные отчеты'!C65/'Прогнозные отчеты'!C$49)</f>
        <v>0</v>
      </c>
      <c r="D63" s="224">
        <f>IF('Прогнозные отчеты'!D$49=0,0,'Прогнозные отчеты'!D65/'Прогнозные отчеты'!D$49)</f>
        <v>0</v>
      </c>
      <c r="E63" s="224">
        <f>IF('Прогнозные отчеты'!E$49=0,0,'Прогнозные отчеты'!E65/'Прогнозные отчеты'!E$49)</f>
        <v>-4.6866999706791062E-6</v>
      </c>
      <c r="F63" s="224">
        <f>IF('Прогнозные отчеты'!F$49=0,0,'Прогнозные отчеты'!F65/'Прогнозные отчеты'!F$49)</f>
        <v>-1.2015526906742332E-4</v>
      </c>
      <c r="G63" s="224">
        <f>IF('Прогнозные отчеты'!G$49=0,0,'Прогнозные отчеты'!G65/'Прогнозные отчеты'!G$49)</f>
        <v>-1.0883276138049286E-4</v>
      </c>
    </row>
    <row r="64" spans="1:7" s="197" customFormat="1" x14ac:dyDescent="0.2">
      <c r="A64" s="210" t="s">
        <v>450</v>
      </c>
      <c r="B64" s="80"/>
      <c r="C64" s="224">
        <f>IF('Прогнозные отчеты'!C$49=0,0,'Прогнозные отчеты'!C66/'Прогнозные отчеты'!C$49)</f>
        <v>0</v>
      </c>
      <c r="D64" s="224">
        <f>IF('Прогнозные отчеты'!D$49=0,0,'Прогнозные отчеты'!D66/'Прогнозные отчеты'!D$49)</f>
        <v>2.6709489774128122E-2</v>
      </c>
      <c r="E64" s="224">
        <f>IF('Прогнозные отчеты'!E$49=0,0,'Прогнозные отчеты'!E66/'Прогнозные отчеты'!E$49)</f>
        <v>0</v>
      </c>
      <c r="F64" s="224">
        <f>IF('Прогнозные отчеты'!F$49=0,0,'Прогнозные отчеты'!F66/'Прогнозные отчеты'!F$49)</f>
        <v>2.7638148204772443E-2</v>
      </c>
      <c r="G64" s="224">
        <f>IF('Прогнозные отчеты'!G$49=0,0,'Прогнозные отчеты'!G66/'Прогнозные отчеты'!G$49)</f>
        <v>0</v>
      </c>
    </row>
    <row r="65" spans="1:7" x14ac:dyDescent="0.2">
      <c r="A65" s="192"/>
      <c r="B65" s="80"/>
      <c r="C65" s="223"/>
      <c r="D65" s="223"/>
      <c r="E65" s="223"/>
      <c r="F65" s="223"/>
      <c r="G65" s="223"/>
    </row>
    <row r="66" spans="1:7" s="161" customFormat="1" x14ac:dyDescent="0.2">
      <c r="A66" s="198" t="s">
        <v>28</v>
      </c>
      <c r="B66" s="80"/>
      <c r="C66" s="225">
        <f>IF('Прогнозные отчеты'!C$49=0,0,'Прогнозные отчеты'!C68/'Прогнозные отчеты'!C$49)</f>
        <v>0.48482432765601297</v>
      </c>
      <c r="D66" s="225">
        <f>IF('Прогнозные отчеты'!D$49=0,0,'Прогнозные отчеты'!D68/'Прогнозные отчеты'!D$49)</f>
        <v>0.44886980408026239</v>
      </c>
      <c r="E66" s="225">
        <f>IF('Прогнозные отчеты'!E$49=0,0,'Прогнозные отчеты'!E68/'Прогнозные отчеты'!E$49)</f>
        <v>0.45277124376234873</v>
      </c>
      <c r="F66" s="225">
        <f>IF('Прогнозные отчеты'!F$49=0,0,'Прогнозные отчеты'!F68/'Прогнозные отчеты'!F$49)</f>
        <v>0.53464863339522284</v>
      </c>
      <c r="G66" s="225">
        <f>IF('Прогнозные отчеты'!G$49=0,0,'Прогнозные отчеты'!G68/'Прогнозные отчеты'!G$49)</f>
        <v>0.46359949258478683</v>
      </c>
    </row>
    <row r="67" spans="1:7" x14ac:dyDescent="0.2">
      <c r="A67" s="192"/>
      <c r="B67" s="80"/>
      <c r="C67" s="223"/>
      <c r="D67" s="223"/>
      <c r="E67" s="223"/>
      <c r="F67" s="223"/>
      <c r="G67" s="223"/>
    </row>
    <row r="68" spans="1:7" x14ac:dyDescent="0.2">
      <c r="A68" s="210" t="s">
        <v>128</v>
      </c>
      <c r="B68" s="80"/>
      <c r="C68" s="224">
        <f>IF('Прогнозные отчеты'!C$49=0,0,'Прогнозные отчеты'!C70/'Прогнозные отчеты'!C$49)</f>
        <v>-9.5303133945826679E-2</v>
      </c>
      <c r="D68" s="224">
        <f>IF('Прогнозные отчеты'!D$49=0,0,'Прогнозные отчеты'!D70/'Прогнозные отчеты'!D$49)</f>
        <v>-8.9773960816052462E-2</v>
      </c>
      <c r="E68" s="224">
        <f>IF('Прогнозные отчеты'!E$49=0,0,'Прогнозные отчеты'!E70/'Прогнозные отчеты'!E$49)</f>
        <v>-9.0554248752469785E-2</v>
      </c>
      <c r="F68" s="224">
        <f>IF('Прогнозные отчеты'!F$49=0,0,'Прогнозные отчеты'!F70/'Прогнозные отчеты'!F$49)</f>
        <v>-0.1069297266790446</v>
      </c>
      <c r="G68" s="224">
        <f>IF('Прогнозные отчеты'!G$49=0,0,'Прогнозные отчеты'!G70/'Прогнозные отчеты'!G$49)</f>
        <v>-9.2719898516957402E-2</v>
      </c>
    </row>
    <row r="69" spans="1:7" s="197" customFormat="1" x14ac:dyDescent="0.2">
      <c r="A69" s="196"/>
      <c r="B69" s="92"/>
      <c r="C69" s="223"/>
      <c r="D69" s="223"/>
      <c r="E69" s="223"/>
      <c r="F69" s="223"/>
      <c r="G69" s="223"/>
    </row>
    <row r="70" spans="1:7" s="161" customFormat="1" x14ac:dyDescent="0.2">
      <c r="A70" s="193" t="s">
        <v>30</v>
      </c>
      <c r="B70" s="80"/>
      <c r="C70" s="225">
        <f>IF('Прогнозные отчеты'!C$49=0,0,'Прогнозные отчеты'!C72/'Прогнозные отчеты'!C$49)</f>
        <v>0.38952119371018623</v>
      </c>
      <c r="D70" s="225">
        <f>IF('Прогнозные отчеты'!D$49=0,0,'Прогнозные отчеты'!D72/'Прогнозные отчеты'!D$49)</f>
        <v>0.35909584326420996</v>
      </c>
      <c r="E70" s="225">
        <f>IF('Прогнозные отчеты'!E$49=0,0,'Прогнозные отчеты'!E72/'Прогнозные отчеты'!E$49)</f>
        <v>0.36221699500987892</v>
      </c>
      <c r="F70" s="225">
        <f>IF('Прогнозные отчеты'!F$49=0,0,'Прогнозные отчеты'!F72/'Прогнозные отчеты'!F$49)</f>
        <v>0.42771890671617829</v>
      </c>
      <c r="G70" s="225">
        <f>IF('Прогнозные отчеты'!G$49=0,0,'Прогнозные отчеты'!G72/'Прогнозные отчеты'!G$49)</f>
        <v>0.37087959406782939</v>
      </c>
    </row>
    <row r="71" spans="1:7" x14ac:dyDescent="0.2">
      <c r="A71" s="166"/>
      <c r="B71" s="166"/>
      <c r="C71" s="170"/>
      <c r="D71" s="170"/>
      <c r="E71" s="170"/>
      <c r="F71" s="170"/>
      <c r="G71" s="170"/>
    </row>
    <row r="72" spans="1:7" x14ac:dyDescent="0.2">
      <c r="A72" s="166"/>
      <c r="B72" s="166"/>
      <c r="C72" s="170"/>
      <c r="D72" s="170"/>
      <c r="E72" s="170"/>
      <c r="F72" s="170"/>
      <c r="G72" s="170"/>
    </row>
    <row r="73" spans="1:7" x14ac:dyDescent="0.2">
      <c r="A73" s="166"/>
      <c r="B73" s="166"/>
      <c r="C73" s="170"/>
      <c r="D73" s="170"/>
      <c r="E73" s="170"/>
      <c r="F73" s="170"/>
      <c r="G73" s="170"/>
    </row>
    <row r="74" spans="1:7" x14ac:dyDescent="0.2">
      <c r="A74" s="166"/>
      <c r="B74" s="166"/>
      <c r="C74" s="170"/>
      <c r="D74" s="170"/>
      <c r="E74" s="170"/>
      <c r="F74" s="170"/>
      <c r="G74" s="170"/>
    </row>
    <row r="75" spans="1:7" x14ac:dyDescent="0.2">
      <c r="A75" s="166"/>
      <c r="B75" s="166"/>
      <c r="C75" s="170"/>
      <c r="D75" s="170"/>
      <c r="E75" s="170"/>
      <c r="F75" s="170"/>
      <c r="G75" s="170"/>
    </row>
    <row r="76" spans="1:7" x14ac:dyDescent="0.2">
      <c r="A76" s="166"/>
      <c r="B76" s="166"/>
      <c r="C76" s="170"/>
      <c r="D76" s="170"/>
      <c r="E76" s="170"/>
      <c r="F76" s="170"/>
      <c r="G76" s="170"/>
    </row>
  </sheetData>
  <hyperlinks>
    <hyperlink ref="A1" r:id="rId1"/>
  </hyperlinks>
  <pageMargins left="0.7" right="0.7" top="0.75" bottom="0.75" header="0.3" footer="0.3"/>
  <pageSetup paperSize="9" orientation="portrait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2"/>
  <sheetViews>
    <sheetView zoomScale="85" zoomScaleNormal="85" workbookViewId="0"/>
  </sheetViews>
  <sheetFormatPr defaultRowHeight="12.75" x14ac:dyDescent="0.2"/>
  <cols>
    <col min="1" max="1" width="45.42578125" style="158" customWidth="1"/>
    <col min="2" max="2" width="11.7109375" style="158" customWidth="1"/>
    <col min="3" max="7" width="11.85546875" style="158" customWidth="1"/>
    <col min="8" max="16384" width="9.140625" style="158"/>
  </cols>
  <sheetData>
    <row r="1" spans="1:8" ht="18" x14ac:dyDescent="0.25">
      <c r="A1" s="319" t="s">
        <v>573</v>
      </c>
    </row>
    <row r="2" spans="1:8" x14ac:dyDescent="0.2">
      <c r="A2" s="11" t="s">
        <v>548</v>
      </c>
      <c r="B2" s="174" t="s">
        <v>108</v>
      </c>
      <c r="C2" s="3">
        <f>Окружение!D4</f>
        <v>2014</v>
      </c>
      <c r="D2" s="4">
        <f>C2+1</f>
        <v>2015</v>
      </c>
      <c r="E2" s="5">
        <f>D2+1</f>
        <v>2016</v>
      </c>
      <c r="F2" s="6">
        <f>E2+1</f>
        <v>2017</v>
      </c>
      <c r="G2" s="7">
        <f>F2+1</f>
        <v>2018</v>
      </c>
    </row>
    <row r="3" spans="1:8" x14ac:dyDescent="0.2">
      <c r="A3" s="170"/>
      <c r="B3" s="170"/>
      <c r="C3" s="170"/>
      <c r="D3" s="170"/>
      <c r="E3" s="170"/>
      <c r="F3" s="170"/>
      <c r="G3" s="170"/>
      <c r="H3" s="170"/>
    </row>
    <row r="4" spans="1:8" x14ac:dyDescent="0.2">
      <c r="A4" s="25" t="s">
        <v>553</v>
      </c>
      <c r="B4" s="25"/>
      <c r="C4" s="25"/>
      <c r="D4" s="25"/>
      <c r="E4" s="25"/>
      <c r="F4" s="25"/>
      <c r="G4" s="25"/>
      <c r="H4" s="170"/>
    </row>
    <row r="5" spans="1:8" x14ac:dyDescent="0.2">
      <c r="A5" s="207" t="s">
        <v>20</v>
      </c>
      <c r="B5" s="80" t="s">
        <v>117</v>
      </c>
      <c r="C5" s="232">
        <f>'Прогнозные отчеты'!C58</f>
        <v>54706.991886295909</v>
      </c>
      <c r="D5" s="232">
        <f>'Прогнозные отчеты'!D58</f>
        <v>135851.37244635125</v>
      </c>
      <c r="E5" s="232">
        <f>'Прогнозные отчеты'!E58</f>
        <v>289120.48997022875</v>
      </c>
      <c r="F5" s="232">
        <f>'Прогнозные отчеты'!F58</f>
        <v>502017.43215116655</v>
      </c>
      <c r="G5" s="232">
        <f>'Прогнозные отчеты'!G58</f>
        <v>537481.06237481872</v>
      </c>
      <c r="H5" s="170"/>
    </row>
    <row r="6" spans="1:8" x14ac:dyDescent="0.2">
      <c r="A6" s="207" t="s">
        <v>157</v>
      </c>
      <c r="B6" s="80" t="s">
        <v>117</v>
      </c>
      <c r="C6" s="232">
        <f>'Прогнозные отчеты'!C49</f>
        <v>96373.118802022698</v>
      </c>
      <c r="D6" s="232">
        <f>'Прогнозные отчеты'!D49</f>
        <v>291214.84782289906</v>
      </c>
      <c r="E6" s="232">
        <f>'Прогнозные отчеты'!E49</f>
        <v>603375.70716760703</v>
      </c>
      <c r="F6" s="232">
        <f>'Прогнозные отчеты'!F49</f>
        <v>955241.27754120529</v>
      </c>
      <c r="G6" s="232">
        <f>'Прогнозные отчеты'!G49</f>
        <v>1119273.5975682978</v>
      </c>
      <c r="H6" s="170"/>
    </row>
    <row r="7" spans="1:8" s="161" customFormat="1" x14ac:dyDescent="0.2">
      <c r="A7" s="167" t="s">
        <v>553</v>
      </c>
      <c r="B7" s="80" t="s">
        <v>123</v>
      </c>
      <c r="C7" s="255">
        <f>IF(C6=0,"-",C5/C6)</f>
        <v>0.56765820766555608</v>
      </c>
      <c r="D7" s="255">
        <f>IF(D6=0,"-",D5/D6)</f>
        <v>0.46649878418619856</v>
      </c>
      <c r="E7" s="255">
        <f>IF(E6=0,"-",E5/E6)</f>
        <v>0.47917157839753105</v>
      </c>
      <c r="F7" s="255">
        <f>IF(F6=0,"-",F5/F6)</f>
        <v>0.52553992792623172</v>
      </c>
      <c r="G7" s="255">
        <f>IF(G6=0,"-",G5/G6)</f>
        <v>0.48020525414209264</v>
      </c>
      <c r="H7" s="240"/>
    </row>
    <row r="8" spans="1:8" x14ac:dyDescent="0.2">
      <c r="A8" s="170"/>
      <c r="B8" s="170"/>
      <c r="C8" s="170"/>
      <c r="D8" s="170"/>
      <c r="E8" s="170"/>
      <c r="F8" s="170"/>
      <c r="G8" s="170"/>
      <c r="H8" s="170"/>
    </row>
    <row r="9" spans="1:8" x14ac:dyDescent="0.2">
      <c r="A9" s="25" t="s">
        <v>554</v>
      </c>
      <c r="B9" s="25"/>
      <c r="C9" s="25"/>
      <c r="D9" s="25"/>
      <c r="E9" s="25"/>
      <c r="F9" s="25"/>
      <c r="G9" s="25"/>
      <c r="H9" s="170"/>
    </row>
    <row r="10" spans="1:8" x14ac:dyDescent="0.2">
      <c r="A10" s="207" t="s">
        <v>265</v>
      </c>
      <c r="B10" s="80" t="s">
        <v>117</v>
      </c>
      <c r="C10" s="232">
        <f>'Прогнозные отчеты'!C72</f>
        <v>37539.372277337476</v>
      </c>
      <c r="D10" s="232">
        <f>'Прогнозные отчеты'!D72</f>
        <v>104574.04135002251</v>
      </c>
      <c r="E10" s="232">
        <f>'Прогнозные отчеты'!E72</f>
        <v>218552.93551221129</v>
      </c>
      <c r="F10" s="232">
        <f>'Прогнозные отчеты'!F72</f>
        <v>408574.75488008978</v>
      </c>
      <c r="G10" s="232">
        <f>'Прогнозные отчеты'!G72</f>
        <v>415115.73751696933</v>
      </c>
      <c r="H10" s="170"/>
    </row>
    <row r="11" spans="1:8" x14ac:dyDescent="0.2">
      <c r="A11" s="207" t="s">
        <v>157</v>
      </c>
      <c r="B11" s="80" t="s">
        <v>117</v>
      </c>
      <c r="C11" s="232">
        <f>'Прогнозные отчеты'!C49</f>
        <v>96373.118802022698</v>
      </c>
      <c r="D11" s="232">
        <f>'Прогнозные отчеты'!D49</f>
        <v>291214.84782289906</v>
      </c>
      <c r="E11" s="232">
        <f>'Прогнозные отчеты'!E49</f>
        <v>603375.70716760703</v>
      </c>
      <c r="F11" s="232">
        <f>'Прогнозные отчеты'!F49</f>
        <v>955241.27754120529</v>
      </c>
      <c r="G11" s="232">
        <f>'Прогнозные отчеты'!G49</f>
        <v>1119273.5975682978</v>
      </c>
      <c r="H11" s="170"/>
    </row>
    <row r="12" spans="1:8" s="161" customFormat="1" x14ac:dyDescent="0.2">
      <c r="A12" s="167" t="s">
        <v>554</v>
      </c>
      <c r="B12" s="80" t="s">
        <v>123</v>
      </c>
      <c r="C12" s="255">
        <f>IF(C11=0,"-",C10/C11)</f>
        <v>0.38952119371018623</v>
      </c>
      <c r="D12" s="255">
        <f>IF(D11=0,"-",D10/D11)</f>
        <v>0.35909584326420996</v>
      </c>
      <c r="E12" s="255">
        <f>IF(E11=0,"-",E10/E11)</f>
        <v>0.36221699500987892</v>
      </c>
      <c r="F12" s="255">
        <f>IF(F11=0,"-",F10/F11)</f>
        <v>0.42771890671617829</v>
      </c>
      <c r="G12" s="255">
        <f>IF(G11=0,"-",G10/G11)</f>
        <v>0.37087959406782939</v>
      </c>
      <c r="H12" s="240"/>
    </row>
    <row r="13" spans="1:8" x14ac:dyDescent="0.2">
      <c r="A13" s="170"/>
      <c r="B13" s="170"/>
      <c r="C13" s="170"/>
      <c r="D13" s="170"/>
      <c r="E13" s="170"/>
      <c r="F13" s="170"/>
      <c r="G13" s="170"/>
      <c r="H13" s="170"/>
    </row>
    <row r="14" spans="1:8" x14ac:dyDescent="0.2">
      <c r="A14" s="25" t="s">
        <v>557</v>
      </c>
      <c r="B14" s="25"/>
      <c r="C14" s="25"/>
      <c r="D14" s="25"/>
      <c r="E14" s="25"/>
      <c r="F14" s="25"/>
      <c r="G14" s="25"/>
      <c r="H14" s="170"/>
    </row>
    <row r="15" spans="1:8" x14ac:dyDescent="0.2">
      <c r="A15" s="207" t="s">
        <v>429</v>
      </c>
      <c r="B15" s="80" t="s">
        <v>117</v>
      </c>
      <c r="C15" s="232">
        <f>'Прогнозные отчеты'!C63</f>
        <v>46724.032527303716</v>
      </c>
      <c r="D15" s="232">
        <f>'Прогнозные отчеты'!D63</f>
        <v>122939.35168752813</v>
      </c>
      <c r="E15" s="232">
        <f>'Прогнозные отчеты'!E63</f>
        <v>273193.99723117321</v>
      </c>
      <c r="F15" s="232">
        <f>'Прогнозные отчеты'!F63</f>
        <v>484432.12087283953</v>
      </c>
      <c r="G15" s="232">
        <f>'Прогнозные отчеты'!G63</f>
        <v>519016.4855325754</v>
      </c>
      <c r="H15" s="170"/>
    </row>
    <row r="16" spans="1:8" x14ac:dyDescent="0.2">
      <c r="A16" s="207" t="s">
        <v>157</v>
      </c>
      <c r="B16" s="80" t="s">
        <v>117</v>
      </c>
      <c r="C16" s="232">
        <f>'Прогнозные отчеты'!C49</f>
        <v>96373.118802022698</v>
      </c>
      <c r="D16" s="232">
        <f>'Прогнозные отчеты'!D49</f>
        <v>291214.84782289906</v>
      </c>
      <c r="E16" s="232">
        <f>'Прогнозные отчеты'!E49</f>
        <v>603375.70716760703</v>
      </c>
      <c r="F16" s="232">
        <f>'Прогнозные отчеты'!F49</f>
        <v>955241.27754120529</v>
      </c>
      <c r="G16" s="232">
        <f>'Прогнозные отчеты'!G49</f>
        <v>1119273.5975682978</v>
      </c>
      <c r="H16" s="170"/>
    </row>
    <row r="17" spans="1:8" s="161" customFormat="1" x14ac:dyDescent="0.2">
      <c r="A17" s="167" t="s">
        <v>557</v>
      </c>
      <c r="B17" s="80" t="s">
        <v>123</v>
      </c>
      <c r="C17" s="255">
        <f>IF(C16=0,"-",C15/C16)</f>
        <v>0.48482432765601297</v>
      </c>
      <c r="D17" s="255">
        <f>IF(D16=0,"-",D15/D16)</f>
        <v>0.42216031430613432</v>
      </c>
      <c r="E17" s="255">
        <f>IF(E16=0,"-",E15/E16)</f>
        <v>0.45277593046231934</v>
      </c>
      <c r="F17" s="255">
        <f>IF(F16=0,"-",F15/F16)</f>
        <v>0.50713064045951795</v>
      </c>
      <c r="G17" s="255">
        <f>IF(G16=0,"-",G15/G16)</f>
        <v>0.46370832534616735</v>
      </c>
      <c r="H17" s="240"/>
    </row>
    <row r="18" spans="1:8" x14ac:dyDescent="0.2">
      <c r="A18" s="170"/>
      <c r="B18" s="170"/>
      <c r="C18" s="170"/>
      <c r="D18" s="170"/>
      <c r="E18" s="170"/>
      <c r="F18" s="170"/>
      <c r="G18" s="170"/>
      <c r="H18" s="170"/>
    </row>
    <row r="19" spans="1:8" x14ac:dyDescent="0.2">
      <c r="A19" s="25" t="s">
        <v>556</v>
      </c>
      <c r="B19" s="25"/>
      <c r="C19" s="25"/>
      <c r="D19" s="25"/>
      <c r="E19" s="25"/>
      <c r="F19" s="25"/>
      <c r="G19" s="25"/>
      <c r="H19" s="170"/>
    </row>
    <row r="20" spans="1:8" x14ac:dyDescent="0.2">
      <c r="A20" s="256" t="s">
        <v>555</v>
      </c>
      <c r="B20" s="80" t="s">
        <v>117</v>
      </c>
      <c r="C20" s="232">
        <f>'Прогнозные отчеты'!C63</f>
        <v>46724.032527303716</v>
      </c>
      <c r="D20" s="232">
        <f>'Прогнозные отчеты'!D63</f>
        <v>122939.35168752813</v>
      </c>
      <c r="E20" s="232">
        <f>'Прогнозные отчеты'!E63</f>
        <v>273193.99723117321</v>
      </c>
      <c r="F20" s="232">
        <f>'Прогнозные отчеты'!F63</f>
        <v>484432.12087283953</v>
      </c>
      <c r="G20" s="232">
        <f>'Прогнозные отчеты'!G63</f>
        <v>519016.4855325754</v>
      </c>
      <c r="H20" s="170"/>
    </row>
    <row r="21" spans="1:8" x14ac:dyDescent="0.2">
      <c r="A21" s="256" t="s">
        <v>154</v>
      </c>
      <c r="B21" s="80" t="s">
        <v>117</v>
      </c>
      <c r="C21" s="232">
        <f>-'Прогнозные отчеты'!C56</f>
        <v>0.21590909090909091</v>
      </c>
      <c r="D21" s="232">
        <f>-'Прогнозные отчеты'!D56</f>
        <v>0.21590909090909091</v>
      </c>
      <c r="E21" s="232">
        <f>-'Прогнозные отчеты'!E56</f>
        <v>3.7954545454545454</v>
      </c>
      <c r="F21" s="232">
        <f>-'Прогнозные отчеты'!F56</f>
        <v>82.715909090909079</v>
      </c>
      <c r="G21" s="232">
        <f>-'Прогнозные отчеты'!G56</f>
        <v>82.715909090909079</v>
      </c>
      <c r="H21" s="170"/>
    </row>
    <row r="22" spans="1:8" x14ac:dyDescent="0.2">
      <c r="A22" s="207" t="s">
        <v>266</v>
      </c>
      <c r="B22" s="80" t="s">
        <v>117</v>
      </c>
      <c r="C22" s="232">
        <f>SUM(C20:C21)</f>
        <v>46724.248436394628</v>
      </c>
      <c r="D22" s="232">
        <f>SUM(D20:D21)</f>
        <v>122939.56759661905</v>
      </c>
      <c r="E22" s="232">
        <f>SUM(E20:E21)</f>
        <v>273197.79268571868</v>
      </c>
      <c r="F22" s="232">
        <f>SUM(F20:F21)</f>
        <v>484514.83678193041</v>
      </c>
      <c r="G22" s="232">
        <f>SUM(G20:G21)</f>
        <v>519099.20144166629</v>
      </c>
      <c r="H22" s="170"/>
    </row>
    <row r="23" spans="1:8" x14ac:dyDescent="0.2">
      <c r="A23" s="207" t="s">
        <v>157</v>
      </c>
      <c r="B23" s="80" t="s">
        <v>117</v>
      </c>
      <c r="C23" s="232">
        <f>'Прогнозные отчеты'!C49</f>
        <v>96373.118802022698</v>
      </c>
      <c r="D23" s="232">
        <f>'Прогнозные отчеты'!D49</f>
        <v>291214.84782289906</v>
      </c>
      <c r="E23" s="232">
        <f>'Прогнозные отчеты'!E49</f>
        <v>603375.70716760703</v>
      </c>
      <c r="F23" s="232">
        <f>'Прогнозные отчеты'!F49</f>
        <v>955241.27754120529</v>
      </c>
      <c r="G23" s="232">
        <f>'Прогнозные отчеты'!G49</f>
        <v>1119273.5975682978</v>
      </c>
      <c r="H23" s="170"/>
    </row>
    <row r="24" spans="1:8" x14ac:dyDescent="0.2">
      <c r="A24" s="167" t="s">
        <v>556</v>
      </c>
      <c r="B24" s="80" t="s">
        <v>123</v>
      </c>
      <c r="C24" s="255">
        <f>IF(C23=0,"-",C22/C23)</f>
        <v>0.48482656800159474</v>
      </c>
      <c r="D24" s="255">
        <f>IF(D23=0,"-",D22/D23)</f>
        <v>0.422161055714385</v>
      </c>
      <c r="E24" s="255">
        <f>IF(E23=0,"-",E22/E23)</f>
        <v>0.45278222082916769</v>
      </c>
      <c r="F24" s="255">
        <f>IF(F23=0,"-",F22/F23)</f>
        <v>0.50721723209980363</v>
      </c>
      <c r="G24" s="255">
        <f>IF(G23=0,"-",G22/G23)</f>
        <v>0.46378222676693759</v>
      </c>
      <c r="H24" s="170"/>
    </row>
    <row r="25" spans="1:8" x14ac:dyDescent="0.2">
      <c r="A25" s="170"/>
      <c r="B25" s="170"/>
      <c r="C25" s="170"/>
      <c r="D25" s="170"/>
      <c r="E25" s="170"/>
      <c r="F25" s="170"/>
      <c r="G25" s="170"/>
      <c r="H25" s="170"/>
    </row>
    <row r="26" spans="1:8" x14ac:dyDescent="0.2">
      <c r="A26" s="25" t="s">
        <v>558</v>
      </c>
      <c r="B26" s="25"/>
      <c r="C26" s="25"/>
      <c r="D26" s="25"/>
      <c r="E26" s="25"/>
      <c r="F26" s="25"/>
      <c r="G26" s="25"/>
      <c r="H26" s="170"/>
    </row>
    <row r="27" spans="1:8" x14ac:dyDescent="0.2">
      <c r="A27" s="207" t="s">
        <v>265</v>
      </c>
      <c r="B27" s="80" t="s">
        <v>117</v>
      </c>
      <c r="C27" s="232">
        <f>'Прогнозные отчеты'!C72</f>
        <v>37539.372277337476</v>
      </c>
      <c r="D27" s="232">
        <f>'Прогнозные отчеты'!D72</f>
        <v>104574.04135002251</v>
      </c>
      <c r="E27" s="232">
        <f>'Прогнозные отчеты'!E72</f>
        <v>218552.93551221129</v>
      </c>
      <c r="F27" s="232">
        <f>'Прогнозные отчеты'!F72</f>
        <v>408574.75488008978</v>
      </c>
      <c r="G27" s="232">
        <f>'Прогнозные отчеты'!G72</f>
        <v>415115.73751696933</v>
      </c>
      <c r="H27" s="170"/>
    </row>
    <row r="28" spans="1:8" x14ac:dyDescent="0.2">
      <c r="A28" s="207" t="s">
        <v>492</v>
      </c>
      <c r="B28" s="80" t="s">
        <v>117</v>
      </c>
      <c r="C28" s="236" t="s">
        <v>312</v>
      </c>
      <c r="D28" s="232">
        <f>('Прогнозные отчеты'!C19+'Прогнозные отчеты'!D19)/2</f>
        <v>102433.87055078713</v>
      </c>
      <c r="E28" s="232">
        <f>('Прогнозные отчеты'!D19+'Прогнозные отчеты'!E19)/2</f>
        <v>253367.53552540662</v>
      </c>
      <c r="F28" s="232">
        <f>('Прогнозные отчеты'!E19+'Прогнозные отчеты'!F19)/2</f>
        <v>551158.68592022476</v>
      </c>
      <c r="G28" s="232">
        <f>('Прогнозные отчеты'!F19+'Прогнозные отчеты'!G19)/2</f>
        <v>943522.18293527071</v>
      </c>
      <c r="H28" s="170"/>
    </row>
    <row r="29" spans="1:8" s="161" customFormat="1" x14ac:dyDescent="0.2">
      <c r="A29" s="167" t="s">
        <v>558</v>
      </c>
      <c r="B29" s="80" t="s">
        <v>123</v>
      </c>
      <c r="C29" s="255" t="s">
        <v>312</v>
      </c>
      <c r="D29" s="255">
        <f>IF(D28=0,"-",D27/D28)</f>
        <v>1.0208931946799205</v>
      </c>
      <c r="E29" s="255">
        <f>IF(E28=0,"-",E27/E28)</f>
        <v>0.86259249851801056</v>
      </c>
      <c r="F29" s="255">
        <f>IF(F28=0,"-",F27/F28)</f>
        <v>0.74130148960262832</v>
      </c>
      <c r="G29" s="255">
        <f>IF(G28=0,"-",G27/G28)</f>
        <v>0.43996394046142728</v>
      </c>
      <c r="H29" s="240"/>
    </row>
    <row r="30" spans="1:8" x14ac:dyDescent="0.2">
      <c r="A30" s="170"/>
      <c r="B30" s="170"/>
      <c r="C30" s="170"/>
      <c r="D30" s="170"/>
      <c r="E30" s="170"/>
      <c r="F30" s="170"/>
      <c r="G30" s="170"/>
      <c r="H30" s="170"/>
    </row>
    <row r="31" spans="1:8" x14ac:dyDescent="0.2">
      <c r="A31" s="25" t="s">
        <v>563</v>
      </c>
      <c r="B31" s="25"/>
      <c r="C31" s="25"/>
      <c r="D31" s="25"/>
      <c r="E31" s="25"/>
      <c r="F31" s="25"/>
      <c r="G31" s="25"/>
      <c r="H31" s="170"/>
    </row>
    <row r="32" spans="1:8" x14ac:dyDescent="0.2">
      <c r="A32" s="207" t="s">
        <v>551</v>
      </c>
      <c r="B32" s="80" t="s">
        <v>117</v>
      </c>
      <c r="C32" s="232">
        <f>'Прогнозные отчеты'!C63</f>
        <v>46724.032527303716</v>
      </c>
      <c r="D32" s="232">
        <f>'Прогнозные отчеты'!D63</f>
        <v>122939.35168752813</v>
      </c>
      <c r="E32" s="232">
        <f>'Прогнозные отчеты'!E63</f>
        <v>273193.99723117321</v>
      </c>
      <c r="F32" s="232">
        <f>'Прогнозные отчеты'!F63</f>
        <v>484432.12087283953</v>
      </c>
      <c r="G32" s="232">
        <f>'Прогнозные отчеты'!G63</f>
        <v>519016.4855325754</v>
      </c>
      <c r="H32" s="170"/>
    </row>
    <row r="33" spans="1:8" x14ac:dyDescent="0.2">
      <c r="A33" s="207" t="s">
        <v>492</v>
      </c>
      <c r="B33" s="80" t="s">
        <v>117</v>
      </c>
      <c r="C33" s="236" t="s">
        <v>312</v>
      </c>
      <c r="D33" s="232">
        <f>('Прогнозные отчеты'!C19+'Прогнозные отчеты'!D19)/2</f>
        <v>102433.87055078713</v>
      </c>
      <c r="E33" s="232">
        <f>('Прогнозные отчеты'!D19+'Прогнозные отчеты'!E19)/2</f>
        <v>253367.53552540662</v>
      </c>
      <c r="F33" s="232">
        <f>('Прогнозные отчеты'!E19+'Прогнозные отчеты'!F19)/2</f>
        <v>551158.68592022476</v>
      </c>
      <c r="G33" s="232">
        <f>('Прогнозные отчеты'!F19+'Прогнозные отчеты'!G19)/2</f>
        <v>943522.18293527071</v>
      </c>
      <c r="H33" s="170"/>
    </row>
    <row r="34" spans="1:8" s="161" customFormat="1" x14ac:dyDescent="0.2">
      <c r="A34" s="167" t="s">
        <v>559</v>
      </c>
      <c r="B34" s="80" t="s">
        <v>123</v>
      </c>
      <c r="C34" s="233" t="s">
        <v>312</v>
      </c>
      <c r="D34" s="255">
        <f>IF(D33=0,"-",D32/D33)</f>
        <v>1.2001826254000068</v>
      </c>
      <c r="E34" s="255">
        <f>IF(E33=0,"-",E32/E33)</f>
        <v>1.0782517841705828</v>
      </c>
      <c r="F34" s="255">
        <f>IF(F33=0,"-",F32/F33)</f>
        <v>0.87893402253839592</v>
      </c>
      <c r="G34" s="255">
        <f>IF(G33=0,"-",G32/G33)</f>
        <v>0.55008403079398716</v>
      </c>
      <c r="H34" s="240"/>
    </row>
    <row r="35" spans="1:8" x14ac:dyDescent="0.2">
      <c r="A35" s="170"/>
      <c r="B35" s="170"/>
      <c r="C35" s="170"/>
      <c r="D35" s="170"/>
      <c r="E35" s="170"/>
      <c r="F35" s="170"/>
      <c r="G35" s="170"/>
      <c r="H35" s="170"/>
    </row>
    <row r="36" spans="1:8" x14ac:dyDescent="0.2">
      <c r="A36" s="25" t="s">
        <v>513</v>
      </c>
      <c r="B36" s="25"/>
      <c r="C36" s="25"/>
      <c r="D36" s="25"/>
      <c r="E36" s="25"/>
      <c r="F36" s="25"/>
      <c r="G36" s="25"/>
      <c r="H36" s="170"/>
    </row>
    <row r="37" spans="1:8" x14ac:dyDescent="0.2">
      <c r="A37" s="207" t="s">
        <v>265</v>
      </c>
      <c r="B37" s="80" t="s">
        <v>117</v>
      </c>
      <c r="C37" s="232">
        <f>'Прогнозные отчеты'!C72</f>
        <v>37539.372277337476</v>
      </c>
      <c r="D37" s="232">
        <f>'Прогнозные отчеты'!D72</f>
        <v>104574.04135002251</v>
      </c>
      <c r="E37" s="232">
        <f>'Прогнозные отчеты'!E72</f>
        <v>218552.93551221129</v>
      </c>
      <c r="F37" s="232">
        <f>'Прогнозные отчеты'!F72</f>
        <v>408574.75488008978</v>
      </c>
      <c r="G37" s="232">
        <f>'Прогнозные отчеты'!G72</f>
        <v>415115.73751696933</v>
      </c>
      <c r="H37" s="170"/>
    </row>
    <row r="38" spans="1:8" x14ac:dyDescent="0.2">
      <c r="A38" s="207" t="s">
        <v>494</v>
      </c>
      <c r="B38" s="80" t="s">
        <v>117</v>
      </c>
      <c r="C38" s="236" t="s">
        <v>312</v>
      </c>
      <c r="D38" s="232">
        <f>'Анализ оборачиваемости'!D61</f>
        <v>99448.489543257805</v>
      </c>
      <c r="E38" s="232">
        <f>'Анализ оборачиваемости'!E61</f>
        <v>252174.92115619293</v>
      </c>
      <c r="F38" s="232">
        <f>'Анализ оборачиваемости'!F61</f>
        <v>566133.98226143443</v>
      </c>
      <c r="G38" s="232">
        <f>'Анализ оборачиваемости'!G61</f>
        <v>978618.08073269133</v>
      </c>
      <c r="H38" s="170"/>
    </row>
    <row r="39" spans="1:8" s="161" customFormat="1" x14ac:dyDescent="0.2">
      <c r="A39" s="167" t="s">
        <v>560</v>
      </c>
      <c r="B39" s="80" t="s">
        <v>123</v>
      </c>
      <c r="C39" s="255" t="s">
        <v>312</v>
      </c>
      <c r="D39" s="255">
        <f>IF(D38=0,"-",D37/D38)</f>
        <v>1.0515397652624499</v>
      </c>
      <c r="E39" s="255">
        <f>IF(E38=0,"-",E37/E38)</f>
        <v>0.86667196924329859</v>
      </c>
      <c r="F39" s="255">
        <f>IF(F38=0,"-",F37/F38)</f>
        <v>0.72169268703501788</v>
      </c>
      <c r="G39" s="255">
        <f>IF(G38=0,"-",G37/G38)</f>
        <v>0.42418564063947417</v>
      </c>
      <c r="H39" s="240"/>
    </row>
    <row r="40" spans="1:8" x14ac:dyDescent="0.2">
      <c r="A40" s="170"/>
      <c r="B40" s="170"/>
      <c r="C40" s="170"/>
      <c r="D40" s="170"/>
      <c r="E40" s="170"/>
      <c r="F40" s="170"/>
      <c r="G40" s="170"/>
      <c r="H40" s="170"/>
    </row>
    <row r="41" spans="1:8" x14ac:dyDescent="0.2">
      <c r="A41" s="25" t="s">
        <v>562</v>
      </c>
      <c r="B41" s="25"/>
      <c r="C41" s="25"/>
      <c r="D41" s="25"/>
      <c r="E41" s="25"/>
      <c r="F41" s="25"/>
      <c r="G41" s="25"/>
      <c r="H41" s="170"/>
    </row>
    <row r="42" spans="1:8" x14ac:dyDescent="0.2">
      <c r="A42" s="207" t="s">
        <v>265</v>
      </c>
      <c r="B42" s="80" t="s">
        <v>117</v>
      </c>
      <c r="C42" s="232">
        <f>'Прогнозные отчеты'!C72</f>
        <v>37539.372277337476</v>
      </c>
      <c r="D42" s="232">
        <f>'Прогнозные отчеты'!D72</f>
        <v>104574.04135002251</v>
      </c>
      <c r="E42" s="232">
        <f>'Прогнозные отчеты'!E72</f>
        <v>218552.93551221129</v>
      </c>
      <c r="F42" s="232">
        <f>'Прогнозные отчеты'!F72</f>
        <v>408574.75488008978</v>
      </c>
      <c r="G42" s="232">
        <f>'Прогнозные отчеты'!G72</f>
        <v>415115.73751696933</v>
      </c>
      <c r="H42" s="170"/>
    </row>
    <row r="43" spans="1:8" x14ac:dyDescent="0.2">
      <c r="A43" s="207" t="s">
        <v>552</v>
      </c>
      <c r="B43" s="80" t="s">
        <v>117</v>
      </c>
      <c r="C43" s="236" t="s">
        <v>312</v>
      </c>
      <c r="D43" s="232">
        <f>('Прогнозные отчеты'!C27+'Прогнозные отчеты'!D27)/2</f>
        <v>91496.392952348717</v>
      </c>
      <c r="E43" s="232">
        <f>('Прогнозные отчеты'!D27+'Прогнозные отчеты'!E27)/2</f>
        <v>253584.88138346566</v>
      </c>
      <c r="F43" s="232">
        <f>('Прогнозные отчеты'!E27+'Прогнозные отчеты'!F27)/2</f>
        <v>567198.72657961631</v>
      </c>
      <c r="G43" s="232">
        <f>('Прогнозные отчеты'!F27+'Прогнозные отчеты'!G27)/2</f>
        <v>979068.97277814592</v>
      </c>
      <c r="H43" s="170"/>
    </row>
    <row r="44" spans="1:8" s="161" customFormat="1" x14ac:dyDescent="0.2">
      <c r="A44" s="167" t="s">
        <v>561</v>
      </c>
      <c r="B44" s="80" t="s">
        <v>123</v>
      </c>
      <c r="C44" s="233" t="s">
        <v>312</v>
      </c>
      <c r="D44" s="255">
        <f>IF(D43=0,"-",D42/D43)</f>
        <v>1.1429307536143487</v>
      </c>
      <c r="E44" s="255">
        <f>IF(E43=0,"-",E42/E43)</f>
        <v>0.86185317641914228</v>
      </c>
      <c r="F44" s="255">
        <f>IF(F43=0,"-",F42/F43)</f>
        <v>0.72033792696242793</v>
      </c>
      <c r="G44" s="255">
        <f>IF(G43=0,"-",G42/G43)</f>
        <v>0.42399028981488651</v>
      </c>
      <c r="H44" s="240"/>
    </row>
    <row r="45" spans="1:8" x14ac:dyDescent="0.2">
      <c r="A45" s="170" t="s">
        <v>549</v>
      </c>
      <c r="B45" s="80" t="s">
        <v>123</v>
      </c>
      <c r="C45" s="233" t="s">
        <v>312</v>
      </c>
      <c r="D45" s="233" t="s">
        <v>312</v>
      </c>
      <c r="E45" s="257">
        <f>IF(E44="-","-",(E44-D44)/D44)</f>
        <v>-0.2459270400296259</v>
      </c>
      <c r="F45" s="257">
        <f>IF(F44="-","-",(F44-E44)/E44)</f>
        <v>-0.16419879084821251</v>
      </c>
      <c r="G45" s="257">
        <f>IF(G44="-","-",(G44-F44)/F44)</f>
        <v>-0.41140085237105473</v>
      </c>
      <c r="H45" s="170"/>
    </row>
    <row r="46" spans="1:8" x14ac:dyDescent="0.2">
      <c r="A46" s="170" t="s">
        <v>550</v>
      </c>
      <c r="B46" s="80" t="s">
        <v>123</v>
      </c>
      <c r="C46" s="195"/>
      <c r="D46" s="195"/>
      <c r="E46" s="195"/>
      <c r="F46" s="195"/>
      <c r="G46" s="224">
        <f>IF(D44="-","-",AVERAGE(D44:G44))</f>
        <v>0.78727803670270136</v>
      </c>
      <c r="H46" s="170"/>
    </row>
    <row r="47" spans="1:8" x14ac:dyDescent="0.2">
      <c r="A47" s="170"/>
      <c r="B47" s="170"/>
      <c r="C47" s="170"/>
      <c r="D47" s="170"/>
      <c r="E47" s="170"/>
      <c r="F47" s="170"/>
      <c r="G47" s="170"/>
      <c r="H47" s="170"/>
    </row>
    <row r="48" spans="1:8" x14ac:dyDescent="0.2">
      <c r="A48" s="25" t="s">
        <v>514</v>
      </c>
      <c r="B48" s="25"/>
      <c r="C48" s="25"/>
      <c r="D48" s="25"/>
      <c r="E48" s="25"/>
      <c r="F48" s="25"/>
      <c r="G48" s="25"/>
    </row>
    <row r="49" spans="1:7" x14ac:dyDescent="0.2">
      <c r="A49" s="207" t="s">
        <v>429</v>
      </c>
      <c r="B49" s="80" t="s">
        <v>117</v>
      </c>
      <c r="C49" s="232">
        <f>'Прогнозные отчеты'!C63</f>
        <v>46724.032527303716</v>
      </c>
      <c r="D49" s="232">
        <f>'Прогнозные отчеты'!D63</f>
        <v>122939.35168752813</v>
      </c>
      <c r="E49" s="232">
        <f>'Прогнозные отчеты'!E63</f>
        <v>273193.99723117321</v>
      </c>
      <c r="F49" s="232">
        <f>'Прогнозные отчеты'!F63</f>
        <v>484432.12087283953</v>
      </c>
      <c r="G49" s="232">
        <f>'Прогнозные отчеты'!G63</f>
        <v>519016.4855325754</v>
      </c>
    </row>
    <row r="50" spans="1:7" x14ac:dyDescent="0.2">
      <c r="A50" s="207" t="s">
        <v>512</v>
      </c>
      <c r="B50" s="80" t="s">
        <v>117</v>
      </c>
      <c r="C50" s="232">
        <f>'Прогнозные отчеты'!C27+'Прогнозные отчеты'!C31</f>
        <v>56209.372277337476</v>
      </c>
      <c r="D50" s="232">
        <f>'Прогнозные отчеты'!D27+'Прогнозные отчеты'!D31</f>
        <v>144283.41362735996</v>
      </c>
      <c r="E50" s="232">
        <f>'Прогнозные отчеты'!E27+'Прогнозные отчеты'!E31</f>
        <v>362886.34913957136</v>
      </c>
      <c r="F50" s="232">
        <f>'Прогнозные отчеты'!F27+'Прогнозные отчеты'!F31</f>
        <v>771511.1040196612</v>
      </c>
      <c r="G50" s="232">
        <f>'Прогнозные отчеты'!G27+'Прогнозные отчеты'!G31</f>
        <v>1186626.8415366306</v>
      </c>
    </row>
    <row r="51" spans="1:7" x14ac:dyDescent="0.2">
      <c r="A51" s="207" t="s">
        <v>515</v>
      </c>
      <c r="B51" s="80" t="s">
        <v>117</v>
      </c>
      <c r="C51" s="236" t="s">
        <v>312</v>
      </c>
      <c r="D51" s="232">
        <f>IF((C50+D50)=0,"-",(C50+D50)/2)</f>
        <v>100246.39295234872</v>
      </c>
      <c r="E51" s="232">
        <f>IF((D50+E50)=0,"-",(D50+E50)/2)</f>
        <v>253584.88138346566</v>
      </c>
      <c r="F51" s="232">
        <f>IF((E50+F50)=0,"-",(E50+F50)/2)</f>
        <v>567198.72657961631</v>
      </c>
      <c r="G51" s="232">
        <f>IF((F50+G50)=0,"-",(F50+G50)/2)</f>
        <v>979068.97277814592</v>
      </c>
    </row>
    <row r="52" spans="1:7" x14ac:dyDescent="0.2">
      <c r="A52" s="167" t="s">
        <v>560</v>
      </c>
      <c r="B52" s="80" t="s">
        <v>123</v>
      </c>
      <c r="C52" s="255" t="s">
        <v>312</v>
      </c>
      <c r="D52" s="255">
        <f>IF(D51="-","-",D49*(1+Окружение!K16)/D51)</f>
        <v>1.4716461877601879</v>
      </c>
      <c r="E52" s="255">
        <f>IF(E51="-","-",E49*(1-Окружение!O16)/E51)</f>
        <v>0.86186209758476917</v>
      </c>
      <c r="F52" s="255">
        <f>IF(F51="-","-",F49*(1-Окружение!S16)/F51)</f>
        <v>0.68326263536466669</v>
      </c>
      <c r="G52" s="255">
        <f>IF(G51="-","-",G49*(1-Окружение!W16)/G51)</f>
        <v>0.42408982407835571</v>
      </c>
    </row>
  </sheetData>
  <hyperlinks>
    <hyperlink ref="A1" r:id="rId1"/>
  </hyperlinks>
  <pageMargins left="0.7" right="0.7" top="0.75" bottom="0.75" header="0.3" footer="0.3"/>
  <pageSetup paperSize="9" orientation="portrait" horizontalDpi="1200" verticalDpi="120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0"/>
  <sheetViews>
    <sheetView zoomScale="85" zoomScaleNormal="85" workbookViewId="0"/>
  </sheetViews>
  <sheetFormatPr defaultRowHeight="12.75" x14ac:dyDescent="0.2"/>
  <cols>
    <col min="1" max="1" width="49.140625" style="158" customWidth="1"/>
    <col min="2" max="2" width="10.85546875" style="158" customWidth="1"/>
    <col min="3" max="7" width="11.85546875" style="158" customWidth="1"/>
    <col min="8" max="16384" width="9.140625" style="158"/>
  </cols>
  <sheetData>
    <row r="1" spans="1:7" ht="18" x14ac:dyDescent="0.25">
      <c r="A1" s="319" t="s">
        <v>573</v>
      </c>
    </row>
    <row r="2" spans="1:7" x14ac:dyDescent="0.2">
      <c r="A2" s="11" t="s">
        <v>496</v>
      </c>
      <c r="B2" s="174" t="s">
        <v>108</v>
      </c>
      <c r="C2" s="3">
        <f>Окружение!D4</f>
        <v>2014</v>
      </c>
      <c r="D2" s="4">
        <f>C2+1</f>
        <v>2015</v>
      </c>
      <c r="E2" s="5">
        <f>D2+1</f>
        <v>2016</v>
      </c>
      <c r="F2" s="6">
        <f>E2+1</f>
        <v>2017</v>
      </c>
      <c r="G2" s="7">
        <f>F2+1</f>
        <v>2018</v>
      </c>
    </row>
    <row r="3" spans="1:7" s="159" customFormat="1" x14ac:dyDescent="0.2">
      <c r="A3" s="20"/>
      <c r="B3" s="20"/>
    </row>
    <row r="4" spans="1:7" ht="12" customHeight="1" x14ac:dyDescent="0.2">
      <c r="A4" s="25" t="s">
        <v>459</v>
      </c>
      <c r="B4" s="228"/>
      <c r="C4" s="229"/>
      <c r="D4" s="229"/>
      <c r="E4" s="229"/>
      <c r="F4" s="229"/>
      <c r="G4" s="229"/>
    </row>
    <row r="5" spans="1:7" x14ac:dyDescent="0.2">
      <c r="A5" s="207" t="s">
        <v>252</v>
      </c>
      <c r="B5" s="80" t="s">
        <v>117</v>
      </c>
      <c r="C5" s="232">
        <f>'Прогнозные отчеты'!C17</f>
        <v>60129.997277337468</v>
      </c>
      <c r="D5" s="232">
        <f>'Прогнозные отчеты'!D17</f>
        <v>143141.93700605497</v>
      </c>
      <c r="E5" s="232">
        <f>'Прогнозные отчеты'!E17</f>
        <v>360925.02040839463</v>
      </c>
      <c r="F5" s="232">
        <f>'Прогнозные отчеты'!F17</f>
        <v>738285.34006841853</v>
      </c>
      <c r="G5" s="232">
        <f>'Прогнозные отчеты'!G17</f>
        <v>1145681.0826203048</v>
      </c>
    </row>
    <row r="6" spans="1:7" x14ac:dyDescent="0.2">
      <c r="A6" s="207" t="s">
        <v>254</v>
      </c>
      <c r="B6" s="80" t="s">
        <v>117</v>
      </c>
      <c r="C6" s="232">
        <f>'Прогнозные отчеты'!C39</f>
        <v>4374.9999999999973</v>
      </c>
      <c r="D6" s="232">
        <f>'Прогнозные отчеты'!D39</f>
        <v>-4.4803123165365832E-2</v>
      </c>
      <c r="E6" s="232">
        <f>'Прогнозные отчеты'!E39</f>
        <v>-5.600390395670729E-2</v>
      </c>
      <c r="F6" s="232">
        <f>'Прогнозные отчеты'!F39</f>
        <v>-31210.843496697122</v>
      </c>
      <c r="G6" s="232">
        <f>'Прогнозные отчеты'!G39</f>
        <v>-39013.554370871403</v>
      </c>
    </row>
    <row r="7" spans="1:7" s="161" customFormat="1" x14ac:dyDescent="0.2">
      <c r="A7" s="167" t="s">
        <v>354</v>
      </c>
      <c r="B7" s="167"/>
      <c r="C7" s="233" t="s">
        <v>312</v>
      </c>
      <c r="D7" s="233">
        <f>IF(C6+D6=0,"-",(D5+C5)/(D6+C6))</f>
        <v>46.46263221815461</v>
      </c>
      <c r="E7" s="233">
        <f>IF(D6+E6=0,"-",(E5+D5)/(E6+D6))</f>
        <v>-5000315.6704943338</v>
      </c>
      <c r="F7" s="233">
        <f>IF(E6+F6=0,"-",(F5+E5)/(F6+E6))</f>
        <v>-35.218797857961256</v>
      </c>
      <c r="G7" s="233">
        <f>IF(F6+G6=0,"-",(G5+F5)/(G6+F6))</f>
        <v>-26.827804579279828</v>
      </c>
    </row>
    <row r="8" spans="1:7" x14ac:dyDescent="0.2">
      <c r="A8" s="170"/>
      <c r="B8" s="170"/>
      <c r="C8" s="170"/>
      <c r="D8" s="170"/>
      <c r="E8" s="170"/>
      <c r="F8" s="170"/>
      <c r="G8" s="170"/>
    </row>
    <row r="9" spans="1:7" ht="12.75" customHeight="1" x14ac:dyDescent="0.2">
      <c r="A9" s="25" t="s">
        <v>355</v>
      </c>
      <c r="B9" s="25"/>
      <c r="C9" s="25"/>
      <c r="D9" s="25"/>
      <c r="E9" s="25"/>
      <c r="F9" s="25"/>
      <c r="G9" s="25"/>
    </row>
    <row r="10" spans="1:7" x14ac:dyDescent="0.2">
      <c r="A10" s="207" t="s">
        <v>252</v>
      </c>
      <c r="B10" s="80" t="s">
        <v>117</v>
      </c>
      <c r="C10" s="232">
        <f>'Прогнозные отчеты'!C17</f>
        <v>60129.997277337468</v>
      </c>
      <c r="D10" s="232">
        <f>'Прогнозные отчеты'!D17</f>
        <v>143141.93700605497</v>
      </c>
      <c r="E10" s="232">
        <f>'Прогнозные отчеты'!E17</f>
        <v>360925.02040839463</v>
      </c>
      <c r="F10" s="232">
        <f>'Прогнозные отчеты'!F17</f>
        <v>738285.34006841853</v>
      </c>
      <c r="G10" s="232">
        <f>'Прогнозные отчеты'!G17</f>
        <v>1145681.0826203048</v>
      </c>
    </row>
    <row r="11" spans="1:7" x14ac:dyDescent="0.2">
      <c r="A11" s="207" t="s">
        <v>353</v>
      </c>
      <c r="B11" s="80" t="s">
        <v>117</v>
      </c>
      <c r="C11" s="232">
        <f>'Прогнозные отчеты'!C12</f>
        <v>5277.6917179079646</v>
      </c>
      <c r="D11" s="232">
        <f>'Прогнозные отчеты'!D12</f>
        <v>28022.057487283168</v>
      </c>
      <c r="E11" s="232">
        <f>'Прогнозные отчеты'!E12</f>
        <v>46090.441101323675</v>
      </c>
      <c r="F11" s="232">
        <f>'Прогнозные отчеты'!F12</f>
        <v>63206.360173898531</v>
      </c>
      <c r="G11" s="232">
        <f>'Прогнозные отчеты'!G12</f>
        <v>80331.526513282297</v>
      </c>
    </row>
    <row r="12" spans="1:7" x14ac:dyDescent="0.2">
      <c r="A12" s="207" t="s">
        <v>254</v>
      </c>
      <c r="B12" s="80" t="s">
        <v>117</v>
      </c>
      <c r="C12" s="232">
        <f>'Прогнозные отчеты'!C39</f>
        <v>4374.9999999999973</v>
      </c>
      <c r="D12" s="232">
        <f>'Прогнозные отчеты'!D39</f>
        <v>-4.4803123165365832E-2</v>
      </c>
      <c r="E12" s="232">
        <f>'Прогнозные отчеты'!E39</f>
        <v>-5.600390395670729E-2</v>
      </c>
      <c r="F12" s="232">
        <f>'Прогнозные отчеты'!F39</f>
        <v>-31210.843496697122</v>
      </c>
      <c r="G12" s="232">
        <f>'Прогнозные отчеты'!G39</f>
        <v>-39013.554370871403</v>
      </c>
    </row>
    <row r="13" spans="1:7" s="161" customFormat="1" x14ac:dyDescent="0.2">
      <c r="A13" s="167" t="s">
        <v>355</v>
      </c>
      <c r="B13" s="167"/>
      <c r="C13" s="233" t="s">
        <v>312</v>
      </c>
      <c r="D13" s="233">
        <f>IF(C12+D12=0,"-",((D10+C10)/2-(D11+C11)/2)/((D12+C12)/2))</f>
        <v>38.851183024580479</v>
      </c>
      <c r="E13" s="233">
        <f>IF(D12+E12=0,"-",((E10+D10)/2-(E11+D11)/2)/((E12+D12)/2))</f>
        <v>-4265123.8817427456</v>
      </c>
      <c r="F13" s="233">
        <f>IF(E12+F12=0,"-",((F10+E10)/2-(F11+E11)/2)/((F12+E12)/2))</f>
        <v>-31.716918609876231</v>
      </c>
      <c r="G13" s="233">
        <f>IF(F12+G12=0,"-",((G10+F10)/2-(G11+F11)/2)/((G12+F12)/2))</f>
        <v>-24.783815722901604</v>
      </c>
    </row>
    <row r="14" spans="1:7" x14ac:dyDescent="0.2">
      <c r="A14" s="166"/>
      <c r="B14" s="166"/>
      <c r="C14" s="230"/>
      <c r="D14" s="230"/>
      <c r="E14" s="230"/>
      <c r="F14" s="230"/>
      <c r="G14" s="230"/>
    </row>
    <row r="15" spans="1:7" x14ac:dyDescent="0.2">
      <c r="A15" s="25" t="s">
        <v>268</v>
      </c>
      <c r="B15" s="25"/>
      <c r="C15" s="25"/>
      <c r="D15" s="25"/>
      <c r="E15" s="25"/>
      <c r="F15" s="25"/>
      <c r="G15" s="25"/>
    </row>
    <row r="16" spans="1:7" x14ac:dyDescent="0.2">
      <c r="A16" s="207" t="s">
        <v>356</v>
      </c>
      <c r="B16" s="80" t="s">
        <v>117</v>
      </c>
      <c r="C16" s="232">
        <f>'Прогнозные отчеты'!C16</f>
        <v>45279.362680988655</v>
      </c>
      <c r="D16" s="232">
        <f>'Прогнозные отчеты'!D16</f>
        <v>64521.398736536707</v>
      </c>
      <c r="E16" s="232">
        <f>'Прогнозные отчеты'!E16</f>
        <v>188936.79960350483</v>
      </c>
      <c r="F16" s="232">
        <f>'Прогнозные отчеты'!F16</f>
        <v>454630.46477507707</v>
      </c>
      <c r="G16" s="232">
        <f>'Прогнозные отчеты'!G16</f>
        <v>806904.69746654422</v>
      </c>
    </row>
    <row r="17" spans="1:7" x14ac:dyDescent="0.2">
      <c r="A17" s="207" t="s">
        <v>254</v>
      </c>
      <c r="B17" s="80" t="s">
        <v>117</v>
      </c>
      <c r="C17" s="232">
        <f>'Прогнозные отчеты'!C39</f>
        <v>4374.9999999999973</v>
      </c>
      <c r="D17" s="232">
        <f>'Прогнозные отчеты'!D39</f>
        <v>-4.4803123165365832E-2</v>
      </c>
      <c r="E17" s="232">
        <f>'Прогнозные отчеты'!E39</f>
        <v>-5.600390395670729E-2</v>
      </c>
      <c r="F17" s="232">
        <f>'Прогнозные отчеты'!F39</f>
        <v>-31210.843496697122</v>
      </c>
      <c r="G17" s="232">
        <f>'Прогнозные отчеты'!G39</f>
        <v>-39013.554370871403</v>
      </c>
    </row>
    <row r="18" spans="1:7" s="161" customFormat="1" x14ac:dyDescent="0.2">
      <c r="A18" s="167" t="s">
        <v>268</v>
      </c>
      <c r="B18" s="167"/>
      <c r="C18" s="233" t="s">
        <v>312</v>
      </c>
      <c r="D18" s="233">
        <f>IF(C17+D17=0,"-",(D16+C16)/(D17+C17))</f>
        <v>25.09757391250756</v>
      </c>
      <c r="E18" s="233">
        <f>IF(D17+E17=0,"-",(E16+D16)/(E17+D17))</f>
        <v>-2514290.9733179035</v>
      </c>
      <c r="F18" s="233">
        <f>IF(E17+F17=0,"-",(F16+E16)/(F17+E17))</f>
        <v>-20.61995247417293</v>
      </c>
      <c r="G18" s="233">
        <f>IF(F17+G17=0,"-",(G16+F16)/(G17+F17))</f>
        <v>-17.964342885796842</v>
      </c>
    </row>
    <row r="19" spans="1:7" x14ac:dyDescent="0.2">
      <c r="A19" s="170"/>
      <c r="B19" s="170"/>
      <c r="C19" s="170"/>
      <c r="D19" s="170"/>
      <c r="E19" s="170"/>
      <c r="F19" s="170"/>
      <c r="G19" s="170"/>
    </row>
    <row r="20" spans="1:7" ht="12.75" customHeight="1" x14ac:dyDescent="0.2">
      <c r="A20" s="25" t="s">
        <v>460</v>
      </c>
      <c r="B20" s="25"/>
      <c r="C20" s="25"/>
      <c r="D20" s="25"/>
      <c r="E20" s="25"/>
      <c r="F20" s="25"/>
      <c r="G20" s="25"/>
    </row>
    <row r="21" spans="1:7" x14ac:dyDescent="0.2">
      <c r="A21" s="256" t="s">
        <v>317</v>
      </c>
      <c r="B21" s="80" t="s">
        <v>117</v>
      </c>
      <c r="C21" s="232">
        <f>'Прогнозные отчеты'!C35</f>
        <v>0</v>
      </c>
      <c r="D21" s="232">
        <f>'Прогнозные отчеты'!D35</f>
        <v>0</v>
      </c>
      <c r="E21" s="232">
        <f>'Прогнозные отчеты'!E35</f>
        <v>0</v>
      </c>
      <c r="F21" s="232">
        <f>'Прогнозные отчеты'!F35</f>
        <v>0</v>
      </c>
      <c r="G21" s="232">
        <f>'Прогнозные отчеты'!G35</f>
        <v>0</v>
      </c>
    </row>
    <row r="22" spans="1:7" x14ac:dyDescent="0.2">
      <c r="A22" s="256" t="s">
        <v>353</v>
      </c>
      <c r="B22" s="80" t="s">
        <v>117</v>
      </c>
      <c r="C22" s="232">
        <f>'Прогнозные отчеты'!C12</f>
        <v>5277.6917179079646</v>
      </c>
      <c r="D22" s="232">
        <f>'Прогнозные отчеты'!D12</f>
        <v>28022.057487283168</v>
      </c>
      <c r="E22" s="232">
        <f>'Прогнозные отчеты'!E12</f>
        <v>46090.441101323675</v>
      </c>
      <c r="F22" s="232">
        <f>'Прогнозные отчеты'!F12</f>
        <v>63206.360173898531</v>
      </c>
      <c r="G22" s="232">
        <f>'Прогнозные отчеты'!G12</f>
        <v>80331.526513282297</v>
      </c>
    </row>
    <row r="23" spans="1:7" x14ac:dyDescent="0.2">
      <c r="A23" s="256" t="s">
        <v>330</v>
      </c>
      <c r="B23" s="80" t="s">
        <v>117</v>
      </c>
      <c r="C23" s="232">
        <f>'Прогнозные отчеты'!C13</f>
        <v>0</v>
      </c>
      <c r="D23" s="232">
        <f>'Прогнозные отчеты'!D13</f>
        <v>23888.722291045353</v>
      </c>
      <c r="E23" s="232">
        <f>'Прогнозные отчеты'!E13</f>
        <v>106382.73693214882</v>
      </c>
      <c r="F23" s="232">
        <f>'Прогнозные отчеты'!F13</f>
        <v>194093.47974251452</v>
      </c>
      <c r="G23" s="232">
        <f>'Прогнозные отчеты'!G13</f>
        <v>225201.6127971368</v>
      </c>
    </row>
    <row r="24" spans="1:7" x14ac:dyDescent="0.2">
      <c r="A24" s="256" t="s">
        <v>357</v>
      </c>
      <c r="B24" s="80" t="s">
        <v>117</v>
      </c>
      <c r="C24" s="237">
        <f>C21+C22-C23</f>
        <v>5277.6917179079646</v>
      </c>
      <c r="D24" s="237">
        <f>D21+D22-D23</f>
        <v>4133.3351962378147</v>
      </c>
      <c r="E24" s="237">
        <f>E21+E22-E23</f>
        <v>-60292.295830825147</v>
      </c>
      <c r="F24" s="237">
        <f>F21+F22-F23</f>
        <v>-130887.11956861599</v>
      </c>
      <c r="G24" s="237">
        <f>G21+G22-G23</f>
        <v>-144870.0862838545</v>
      </c>
    </row>
    <row r="25" spans="1:7" x14ac:dyDescent="0.2">
      <c r="A25" s="207" t="s">
        <v>358</v>
      </c>
      <c r="B25" s="80" t="s">
        <v>117</v>
      </c>
      <c r="C25" s="237" t="s">
        <v>312</v>
      </c>
      <c r="D25" s="237">
        <f>(D24+C24)/2</f>
        <v>4705.5134570728897</v>
      </c>
      <c r="E25" s="237">
        <f>(E24+D24)/2</f>
        <v>-28079.480317293666</v>
      </c>
      <c r="F25" s="237">
        <f>(F24+E24)/2</f>
        <v>-95589.707699720573</v>
      </c>
      <c r="G25" s="237">
        <f>(G24+F24)/2</f>
        <v>-137878.60292623524</v>
      </c>
    </row>
    <row r="26" spans="1:7" x14ac:dyDescent="0.2">
      <c r="A26" s="207" t="s">
        <v>157</v>
      </c>
      <c r="B26" s="80" t="s">
        <v>117</v>
      </c>
      <c r="C26" s="232">
        <f>'Прогнозные отчеты'!C49</f>
        <v>96373.118802022698</v>
      </c>
      <c r="D26" s="232">
        <f>'Прогнозные отчеты'!D49</f>
        <v>291214.84782289906</v>
      </c>
      <c r="E26" s="232">
        <f>'Прогнозные отчеты'!E49</f>
        <v>603375.70716760703</v>
      </c>
      <c r="F26" s="232">
        <f>'Прогнозные отчеты'!F49</f>
        <v>955241.27754120529</v>
      </c>
      <c r="G26" s="232">
        <f>'Прогнозные отчеты'!G49</f>
        <v>1119273.5975682978</v>
      </c>
    </row>
    <row r="27" spans="1:7" s="161" customFormat="1" ht="12" customHeight="1" x14ac:dyDescent="0.2">
      <c r="A27" s="167" t="s">
        <v>359</v>
      </c>
      <c r="B27" s="167"/>
      <c r="C27" s="233" t="s">
        <v>312</v>
      </c>
      <c r="D27" s="233">
        <f>IF(D26=0,"-",D25/D26)</f>
        <v>1.6158219583413982E-2</v>
      </c>
      <c r="E27" s="233">
        <f>IF(E26=0,"-",E25/E26)</f>
        <v>-4.6537306662718665E-2</v>
      </c>
      <c r="F27" s="233">
        <f>IF(F26=0,"-",F25/F26)</f>
        <v>-0.10006865275521683</v>
      </c>
      <c r="G27" s="233">
        <f>IF(G26=0,"-",G25/G26)</f>
        <v>-0.12318579052144749</v>
      </c>
    </row>
    <row r="28" spans="1:7" x14ac:dyDescent="0.2">
      <c r="A28" s="170"/>
      <c r="B28" s="170"/>
      <c r="C28" s="170"/>
      <c r="D28" s="170"/>
      <c r="E28" s="170"/>
      <c r="F28" s="170"/>
      <c r="G28" s="170"/>
    </row>
    <row r="29" spans="1:7" ht="12.75" customHeight="1" x14ac:dyDescent="0.2">
      <c r="A29" s="25" t="s">
        <v>352</v>
      </c>
      <c r="B29" s="25"/>
      <c r="C29" s="25"/>
      <c r="D29" s="25"/>
      <c r="E29" s="25"/>
      <c r="F29" s="25"/>
      <c r="G29" s="25"/>
    </row>
    <row r="30" spans="1:7" x14ac:dyDescent="0.2">
      <c r="A30" s="207" t="s">
        <v>252</v>
      </c>
      <c r="B30" s="80" t="s">
        <v>117</v>
      </c>
      <c r="C30" s="232">
        <f>'Прогнозные отчеты'!C17</f>
        <v>60129.997277337468</v>
      </c>
      <c r="D30" s="232">
        <f>'Прогнозные отчеты'!D17</f>
        <v>143141.93700605497</v>
      </c>
      <c r="E30" s="232">
        <f>'Прогнозные отчеты'!E17</f>
        <v>360925.02040839463</v>
      </c>
      <c r="F30" s="232">
        <f>'Прогнозные отчеты'!F17</f>
        <v>738285.34006841853</v>
      </c>
      <c r="G30" s="232">
        <f>'Прогнозные отчеты'!G17</f>
        <v>1145681.0826203048</v>
      </c>
    </row>
    <row r="31" spans="1:7" x14ac:dyDescent="0.2">
      <c r="A31" s="207" t="s">
        <v>353</v>
      </c>
      <c r="B31" s="80" t="s">
        <v>117</v>
      </c>
      <c r="C31" s="232">
        <f>'Прогнозные отчеты'!C12</f>
        <v>5277.6917179079646</v>
      </c>
      <c r="D31" s="232">
        <f>'Прогнозные отчеты'!D12</f>
        <v>28022.057487283168</v>
      </c>
      <c r="E31" s="232">
        <f>'Прогнозные отчеты'!E12</f>
        <v>46090.441101323675</v>
      </c>
      <c r="F31" s="232">
        <f>'Прогнозные отчеты'!F12</f>
        <v>63206.360173898531</v>
      </c>
      <c r="G31" s="232">
        <f>'Прогнозные отчеты'!G12</f>
        <v>80331.526513282297</v>
      </c>
    </row>
    <row r="32" spans="1:7" x14ac:dyDescent="0.2">
      <c r="A32" s="207" t="s">
        <v>360</v>
      </c>
      <c r="B32" s="80" t="s">
        <v>117</v>
      </c>
      <c r="C32" s="238">
        <f>-('Прогнозные отчеты'!C51-'Прогнозные отчеты'!C56+'Прогнозные отчеты'!C60+'Прогнозные отчеты'!C61)/365</f>
        <v>136.02430237158376</v>
      </c>
      <c r="D32" s="238">
        <f>-('Прогнозные отчеты'!D51-'Прогнозные отчеты'!D56+'Прогнозные отчеты'!D60+'Прогнозные отчеты'!D61)/365</f>
        <v>461.0281650035069</v>
      </c>
      <c r="E32" s="238">
        <f>-('Прогнозные отчеты'!E51-'Прогнозные отчеты'!E56+'Прогнозные отчеты'!E60+'Прогнозные отчеты'!E61)/365</f>
        <v>904.5970259777763</v>
      </c>
      <c r="F32" s="238">
        <f>-('Прогнозные отчеты'!F51-'Прогнозные отчеты'!F56+'Прогнозные отчеты'!F60+'Прогнозные отчеты'!F61)/365</f>
        <v>1289.66148153226</v>
      </c>
      <c r="G32" s="238">
        <f>-('Прогнозные отчеты'!G51-'Прогнозные отчеты'!G56+'Прогнозные отчеты'!G60+'Прогнозные отчеты'!G61)/365</f>
        <v>1644.3134140455654</v>
      </c>
    </row>
    <row r="33" spans="1:7" s="161" customFormat="1" x14ac:dyDescent="0.2">
      <c r="A33" s="167" t="s">
        <v>361</v>
      </c>
      <c r="B33" s="80" t="s">
        <v>362</v>
      </c>
      <c r="C33" s="233">
        <f>IF(C32=0,"-",(C30-C31)/C32)</f>
        <v>403.25371718935173</v>
      </c>
      <c r="D33" s="233">
        <f>IF(D32=0,"-",(D30-D31)/D32)</f>
        <v>249.70248730442776</v>
      </c>
      <c r="E33" s="233">
        <f>IF(E32=0,"-",(E30-E31)/E32)</f>
        <v>348.03848593993234</v>
      </c>
      <c r="F33" s="233">
        <f>IF(F32=0,"-",(F30-F31)/F32)</f>
        <v>523.45440222999582</v>
      </c>
      <c r="G33" s="233">
        <f>IF(G32=0,"-",(G30-G31)/G32)</f>
        <v>647.89932807633272</v>
      </c>
    </row>
    <row r="34" spans="1:7" x14ac:dyDescent="0.2">
      <c r="A34" s="170"/>
      <c r="B34" s="170"/>
      <c r="C34" s="170"/>
      <c r="D34" s="170"/>
      <c r="E34" s="170"/>
      <c r="F34" s="170"/>
      <c r="G34" s="170"/>
    </row>
    <row r="35" spans="1:7" x14ac:dyDescent="0.2">
      <c r="A35" s="25" t="s">
        <v>336</v>
      </c>
      <c r="B35" s="170"/>
      <c r="C35" s="170"/>
      <c r="D35" s="170"/>
      <c r="E35" s="170"/>
      <c r="F35" s="170"/>
      <c r="G35" s="231"/>
    </row>
    <row r="36" spans="1:7" x14ac:dyDescent="0.2">
      <c r="A36" s="239" t="s">
        <v>472</v>
      </c>
      <c r="B36" s="80" t="s">
        <v>117</v>
      </c>
      <c r="C36" s="172">
        <f>'Прогнозные отчеты'!C17</f>
        <v>60129.997277337468</v>
      </c>
      <c r="D36" s="172">
        <f>'Прогнозные отчеты'!D17</f>
        <v>143141.93700605497</v>
      </c>
      <c r="E36" s="172">
        <f>'Прогнозные отчеты'!E17</f>
        <v>360925.02040839463</v>
      </c>
      <c r="F36" s="172">
        <f>'Прогнозные отчеты'!F17</f>
        <v>738285.34006841853</v>
      </c>
      <c r="G36" s="172">
        <f>'Прогнозные отчеты'!G17</f>
        <v>1145681.0826203048</v>
      </c>
    </row>
    <row r="37" spans="1:7" x14ac:dyDescent="0.2">
      <c r="A37" s="239" t="s">
        <v>473</v>
      </c>
      <c r="B37" s="80" t="s">
        <v>117</v>
      </c>
      <c r="C37" s="172">
        <f>'Прогнозные отчеты'!C39</f>
        <v>4374.9999999999973</v>
      </c>
      <c r="D37" s="172">
        <f>'Прогнозные отчеты'!D39</f>
        <v>-4.4803123165365832E-2</v>
      </c>
      <c r="E37" s="172">
        <f>'Прогнозные отчеты'!E39</f>
        <v>-5.600390395670729E-2</v>
      </c>
      <c r="F37" s="172">
        <f>'Прогнозные отчеты'!F39</f>
        <v>-31210.843496697122</v>
      </c>
      <c r="G37" s="172">
        <f>'Прогнозные отчеты'!G39</f>
        <v>-39013.554370871403</v>
      </c>
    </row>
    <row r="38" spans="1:7" s="161" customFormat="1" x14ac:dyDescent="0.2">
      <c r="A38" s="240" t="s">
        <v>471</v>
      </c>
      <c r="B38" s="80" t="s">
        <v>117</v>
      </c>
      <c r="C38" s="241">
        <f>C36-C37</f>
        <v>55754.997277337468</v>
      </c>
      <c r="D38" s="241">
        <f>D36-D37</f>
        <v>143141.98180917813</v>
      </c>
      <c r="E38" s="241">
        <f>E36-E37</f>
        <v>360925.0764122986</v>
      </c>
      <c r="F38" s="241">
        <f>F36-F37</f>
        <v>769496.18356511567</v>
      </c>
      <c r="G38" s="241">
        <f>G36-G37</f>
        <v>1184694.6369911763</v>
      </c>
    </row>
    <row r="39" spans="1:7" x14ac:dyDescent="0.2">
      <c r="A39" s="170"/>
      <c r="B39" s="170"/>
      <c r="C39" s="170"/>
      <c r="D39" s="170"/>
      <c r="E39" s="170"/>
      <c r="F39" s="170"/>
      <c r="G39" s="170"/>
    </row>
    <row r="40" spans="1:7" x14ac:dyDescent="0.2">
      <c r="A40" s="170"/>
      <c r="B40" s="170"/>
      <c r="C40" s="170"/>
      <c r="D40" s="170"/>
      <c r="E40" s="170"/>
      <c r="F40" s="170"/>
      <c r="G40" s="170"/>
    </row>
  </sheetData>
  <hyperlinks>
    <hyperlink ref="A1" r:id="rId1"/>
  </hyperlinks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0"/>
  <sheetViews>
    <sheetView zoomScale="90" zoomScaleNormal="90" workbookViewId="0"/>
  </sheetViews>
  <sheetFormatPr defaultRowHeight="12.75" x14ac:dyDescent="0.2"/>
  <cols>
    <col min="1" max="1" width="60.42578125" style="158" customWidth="1"/>
    <col min="2" max="2" width="10.28515625" style="158" customWidth="1"/>
    <col min="3" max="7" width="11.85546875" style="158" customWidth="1"/>
    <col min="8" max="16384" width="9.140625" style="158"/>
  </cols>
  <sheetData>
    <row r="1" spans="1:8" ht="18" x14ac:dyDescent="0.25">
      <c r="A1" s="319" t="s">
        <v>573</v>
      </c>
    </row>
    <row r="2" spans="1:8" x14ac:dyDescent="0.2">
      <c r="A2" s="11" t="s">
        <v>426</v>
      </c>
      <c r="B2" s="174" t="s">
        <v>108</v>
      </c>
      <c r="C2" s="3">
        <f>Окружение!D4</f>
        <v>2014</v>
      </c>
      <c r="D2" s="4">
        <f>C2+1</f>
        <v>2015</v>
      </c>
      <c r="E2" s="5">
        <f>D2+1</f>
        <v>2016</v>
      </c>
      <c r="F2" s="6">
        <f>E2+1</f>
        <v>2017</v>
      </c>
      <c r="G2" s="7">
        <f>F2+1</f>
        <v>2018</v>
      </c>
    </row>
    <row r="4" spans="1:8" x14ac:dyDescent="0.2">
      <c r="A4" s="25" t="s">
        <v>415</v>
      </c>
      <c r="B4" s="25"/>
      <c r="C4" s="25"/>
      <c r="D4" s="25"/>
      <c r="E4" s="25"/>
      <c r="F4" s="25"/>
      <c r="G4" s="25"/>
      <c r="H4" s="170"/>
    </row>
    <row r="5" spans="1:8" x14ac:dyDescent="0.2">
      <c r="A5" s="207" t="s">
        <v>200</v>
      </c>
      <c r="B5" s="80" t="s">
        <v>117</v>
      </c>
      <c r="C5" s="232">
        <f>'Прогнозные отчеты'!C27</f>
        <v>38709.372277337476</v>
      </c>
      <c r="D5" s="232">
        <f>'Прогнозные отчеты'!D27</f>
        <v>144283.41362735996</v>
      </c>
      <c r="E5" s="232">
        <f>'Прогнозные отчеты'!E27</f>
        <v>362886.34913957136</v>
      </c>
      <c r="F5" s="232">
        <f>'Прогнозные отчеты'!F27</f>
        <v>771511.1040196612</v>
      </c>
      <c r="G5" s="232">
        <f>'Прогнозные отчеты'!G27</f>
        <v>1186626.8415366306</v>
      </c>
      <c r="H5" s="170"/>
    </row>
    <row r="6" spans="1:8" x14ac:dyDescent="0.2">
      <c r="A6" s="207" t="s">
        <v>427</v>
      </c>
      <c r="B6" s="80" t="s">
        <v>117</v>
      </c>
      <c r="C6" s="232">
        <f>'Прогнозные отчеты'!C19</f>
        <v>60584.372277337468</v>
      </c>
      <c r="D6" s="232">
        <f>'Прогнозные отчеты'!D19</f>
        <v>144283.36882423679</v>
      </c>
      <c r="E6" s="232">
        <f>'Прогнозные отчеты'!E19</f>
        <v>362451.70222657645</v>
      </c>
      <c r="F6" s="232">
        <f>'Прогнозные отчеты'!F19</f>
        <v>739865.66961387312</v>
      </c>
      <c r="G6" s="232">
        <f>'Прогнозные отчеты'!G19</f>
        <v>1147178.6962566683</v>
      </c>
      <c r="H6" s="170"/>
    </row>
    <row r="7" spans="1:8" s="161" customFormat="1" x14ac:dyDescent="0.2">
      <c r="A7" s="167" t="s">
        <v>546</v>
      </c>
      <c r="B7" s="167"/>
      <c r="C7" s="233">
        <f>IF(C6=0,"-",C5/C6)</f>
        <v>0.63893328959714779</v>
      </c>
      <c r="D7" s="233">
        <f>IF(D6=0,"-",D5/D6)</f>
        <v>1.000000310521743</v>
      </c>
      <c r="E7" s="233">
        <f>IF(E6=0,"-",E5/E6)</f>
        <v>1.001199185740679</v>
      </c>
      <c r="F7" s="233">
        <f>IF(F6=0,"-",F5/F6)</f>
        <v>1.0427718648201416</v>
      </c>
      <c r="G7" s="233">
        <f>IF(G6=0,"-",G5/G6)</f>
        <v>1.034387097152941</v>
      </c>
      <c r="H7" s="240"/>
    </row>
    <row r="8" spans="1:8" x14ac:dyDescent="0.2">
      <c r="A8" s="170"/>
      <c r="B8" s="170"/>
      <c r="C8" s="170"/>
      <c r="D8" s="170"/>
      <c r="E8" s="170"/>
      <c r="F8" s="170"/>
      <c r="G8" s="170"/>
      <c r="H8" s="170"/>
    </row>
    <row r="9" spans="1:8" x14ac:dyDescent="0.2">
      <c r="A9" s="25" t="s">
        <v>416</v>
      </c>
      <c r="B9" s="25"/>
      <c r="C9" s="25"/>
      <c r="D9" s="25"/>
      <c r="E9" s="25"/>
      <c r="F9" s="25"/>
      <c r="G9" s="25"/>
      <c r="H9" s="170"/>
    </row>
    <row r="10" spans="1:8" x14ac:dyDescent="0.2">
      <c r="A10" s="207" t="s">
        <v>427</v>
      </c>
      <c r="B10" s="80" t="s">
        <v>117</v>
      </c>
      <c r="C10" s="232">
        <f>'Прогнозные отчеты'!C19</f>
        <v>60584.372277337468</v>
      </c>
      <c r="D10" s="232">
        <f>'Прогнозные отчеты'!D19</f>
        <v>144283.36882423679</v>
      </c>
      <c r="E10" s="232">
        <f>'Прогнозные отчеты'!E19</f>
        <v>362451.70222657645</v>
      </c>
      <c r="F10" s="232">
        <f>'Прогнозные отчеты'!F19</f>
        <v>739865.66961387312</v>
      </c>
      <c r="G10" s="232">
        <f>'Прогнозные отчеты'!G19</f>
        <v>1147178.6962566683</v>
      </c>
      <c r="H10" s="170"/>
    </row>
    <row r="11" spans="1:8" x14ac:dyDescent="0.2">
      <c r="A11" s="207" t="s">
        <v>200</v>
      </c>
      <c r="B11" s="80" t="s">
        <v>117</v>
      </c>
      <c r="C11" s="232">
        <f>'Прогнозные отчеты'!C27</f>
        <v>38709.372277337476</v>
      </c>
      <c r="D11" s="232">
        <f>'Прогнозные отчеты'!D27</f>
        <v>144283.41362735996</v>
      </c>
      <c r="E11" s="232">
        <f>'Прогнозные отчеты'!E27</f>
        <v>362886.34913957136</v>
      </c>
      <c r="F11" s="232">
        <f>'Прогнозные отчеты'!F27</f>
        <v>771511.1040196612</v>
      </c>
      <c r="G11" s="232">
        <f>'Прогнозные отчеты'!G27</f>
        <v>1186626.8415366306</v>
      </c>
      <c r="H11" s="170"/>
    </row>
    <row r="12" spans="1:8" s="161" customFormat="1" x14ac:dyDescent="0.2">
      <c r="A12" s="167" t="s">
        <v>416</v>
      </c>
      <c r="B12" s="167"/>
      <c r="C12" s="233">
        <f>IF(C11=0,"-",C10/C11)</f>
        <v>1.565108621324939</v>
      </c>
      <c r="D12" s="233">
        <f>IF(D11=0,"-",D10/D11)</f>
        <v>0.99999968947835349</v>
      </c>
      <c r="E12" s="233">
        <f>IF(E11=0,"-",E10/E11)</f>
        <v>0.99880225058334249</v>
      </c>
      <c r="F12" s="233">
        <f>IF(F11=0,"-",F10/F11)</f>
        <v>0.95898252890864211</v>
      </c>
      <c r="G12" s="233">
        <f>IF(G11=0,"-",G10/G11)</f>
        <v>0.9667560652606858</v>
      </c>
      <c r="H12" s="240"/>
    </row>
    <row r="13" spans="1:8" x14ac:dyDescent="0.2">
      <c r="A13" s="170"/>
      <c r="B13" s="170"/>
      <c r="C13" s="170"/>
      <c r="D13" s="170"/>
      <c r="E13" s="170"/>
      <c r="F13" s="170"/>
      <c r="G13" s="170"/>
      <c r="H13" s="170"/>
    </row>
    <row r="14" spans="1:8" x14ac:dyDescent="0.2">
      <c r="A14" s="25" t="s">
        <v>417</v>
      </c>
      <c r="B14" s="25"/>
      <c r="C14" s="25"/>
      <c r="D14" s="25"/>
      <c r="E14" s="25"/>
      <c r="F14" s="25"/>
      <c r="G14" s="25"/>
      <c r="H14" s="170"/>
    </row>
    <row r="15" spans="1:8" x14ac:dyDescent="0.2">
      <c r="A15" s="207" t="s">
        <v>428</v>
      </c>
      <c r="B15" s="80" t="s">
        <v>117</v>
      </c>
      <c r="C15" s="232">
        <f>'Прогнозные отчеты'!C31+'Прогнозные отчеты'!C39</f>
        <v>21874.999999999996</v>
      </c>
      <c r="D15" s="232">
        <f>'Прогнозные отчеты'!D31+'Прогнозные отчеты'!D39</f>
        <v>-4.4803123165365832E-2</v>
      </c>
      <c r="E15" s="232">
        <f>'Прогнозные отчеты'!E31+'Прогнозные отчеты'!E39</f>
        <v>-5.600390395670729E-2</v>
      </c>
      <c r="F15" s="232">
        <f>'Прогнозные отчеты'!F31+'Прогнозные отчеты'!F39</f>
        <v>-31210.843496697122</v>
      </c>
      <c r="G15" s="232">
        <f>'Прогнозные отчеты'!G31+'Прогнозные отчеты'!G39</f>
        <v>-39013.554370871403</v>
      </c>
      <c r="H15" s="170"/>
    </row>
    <row r="16" spans="1:8" x14ac:dyDescent="0.2">
      <c r="A16" s="207" t="s">
        <v>200</v>
      </c>
      <c r="B16" s="80" t="s">
        <v>117</v>
      </c>
      <c r="C16" s="232">
        <f>'Прогнозные отчеты'!C27</f>
        <v>38709.372277337476</v>
      </c>
      <c r="D16" s="232">
        <f>'Прогнозные отчеты'!D27</f>
        <v>144283.41362735996</v>
      </c>
      <c r="E16" s="232">
        <f>'Прогнозные отчеты'!E27</f>
        <v>362886.34913957136</v>
      </c>
      <c r="F16" s="232">
        <f>'Прогнозные отчеты'!F27</f>
        <v>771511.1040196612</v>
      </c>
      <c r="G16" s="232">
        <f>'Прогнозные отчеты'!G27</f>
        <v>1186626.8415366306</v>
      </c>
      <c r="H16" s="170"/>
    </row>
    <row r="17" spans="1:8" s="161" customFormat="1" x14ac:dyDescent="0.2">
      <c r="A17" s="167" t="s">
        <v>547</v>
      </c>
      <c r="B17" s="167"/>
      <c r="C17" s="233">
        <f>IF(C16=0,"-",C15/C16)</f>
        <v>0.565108621324939</v>
      </c>
      <c r="D17" s="233">
        <f>IF(D16=0,"-",D15/D16)</f>
        <v>-3.1052164652188388E-7</v>
      </c>
      <c r="E17" s="233">
        <f>IF(E16=0,"-",E15/E16)</f>
        <v>-1.5432904569019038E-7</v>
      </c>
      <c r="F17" s="233">
        <f>IF(F16=0,"-",F15/F16)</f>
        <v>-4.0454172770923259E-2</v>
      </c>
      <c r="G17" s="233">
        <f>IF(G16=0,"-",G15/G16)</f>
        <v>-3.2877694153918287E-2</v>
      </c>
      <c r="H17" s="240"/>
    </row>
    <row r="18" spans="1:8" x14ac:dyDescent="0.2">
      <c r="A18" s="170"/>
      <c r="B18" s="170"/>
      <c r="C18" s="170"/>
      <c r="D18" s="170"/>
      <c r="E18" s="170"/>
      <c r="F18" s="170"/>
      <c r="G18" s="170"/>
      <c r="H18" s="170"/>
    </row>
    <row r="19" spans="1:8" x14ac:dyDescent="0.2">
      <c r="A19" s="25" t="s">
        <v>418</v>
      </c>
      <c r="B19" s="25"/>
      <c r="C19" s="25"/>
      <c r="D19" s="25"/>
      <c r="E19" s="25"/>
      <c r="F19" s="25"/>
      <c r="G19" s="25"/>
      <c r="H19" s="170"/>
    </row>
    <row r="20" spans="1:8" x14ac:dyDescent="0.2">
      <c r="A20" s="207" t="s">
        <v>428</v>
      </c>
      <c r="B20" s="80" t="s">
        <v>117</v>
      </c>
      <c r="C20" s="232">
        <f>'Прогнозные отчеты'!C31+'Прогнозные отчеты'!C39</f>
        <v>21874.999999999996</v>
      </c>
      <c r="D20" s="232">
        <f>'Прогнозные отчеты'!D31+'Прогнозные отчеты'!D39</f>
        <v>-4.4803123165365832E-2</v>
      </c>
      <c r="E20" s="232">
        <f>'Прогнозные отчеты'!E31+'Прогнозные отчеты'!E39</f>
        <v>-5.600390395670729E-2</v>
      </c>
      <c r="F20" s="232">
        <f>'Прогнозные отчеты'!F31+'Прогнозные отчеты'!F39</f>
        <v>-31210.843496697122</v>
      </c>
      <c r="G20" s="232">
        <f>'Прогнозные отчеты'!G31+'Прогнозные отчеты'!G39</f>
        <v>-39013.554370871403</v>
      </c>
      <c r="H20" s="170"/>
    </row>
    <row r="21" spans="1:8" x14ac:dyDescent="0.2">
      <c r="A21" s="207" t="s">
        <v>427</v>
      </c>
      <c r="B21" s="80" t="s">
        <v>117</v>
      </c>
      <c r="C21" s="232">
        <f>'Прогнозные отчеты'!C19</f>
        <v>60584.372277337468</v>
      </c>
      <c r="D21" s="232">
        <f>'Прогнозные отчеты'!D19</f>
        <v>144283.36882423679</v>
      </c>
      <c r="E21" s="232">
        <f>'Прогнозные отчеты'!E19</f>
        <v>362451.70222657645</v>
      </c>
      <c r="F21" s="232">
        <f>'Прогнозные отчеты'!F19</f>
        <v>739865.66961387312</v>
      </c>
      <c r="G21" s="232">
        <f>'Прогнозные отчеты'!G19</f>
        <v>1147178.6962566683</v>
      </c>
      <c r="H21" s="170"/>
    </row>
    <row r="22" spans="1:8" s="161" customFormat="1" x14ac:dyDescent="0.2">
      <c r="A22" s="167" t="s">
        <v>418</v>
      </c>
      <c r="B22" s="167"/>
      <c r="C22" s="233">
        <f>IF(C21=0,"-",C20/C21)</f>
        <v>0.36106671040285221</v>
      </c>
      <c r="D22" s="233">
        <f>IF(D21=0,"-",D20/D21)</f>
        <v>-3.105217429456068E-7</v>
      </c>
      <c r="E22" s="233">
        <f>IF(E21=0,"-",E20/E21)</f>
        <v>-1.5451411488115466E-7</v>
      </c>
      <c r="F22" s="233">
        <f>IF(F21=0,"-",F20/F21)</f>
        <v>-4.2184473180091844E-2</v>
      </c>
      <c r="G22" s="233">
        <f>IF(G21=0,"-",G20/G21)</f>
        <v>-3.4008262616953756E-2</v>
      </c>
      <c r="H22" s="240"/>
    </row>
    <row r="23" spans="1:8" x14ac:dyDescent="0.2">
      <c r="A23" s="170"/>
      <c r="B23" s="170"/>
      <c r="C23" s="170"/>
      <c r="D23" s="170"/>
      <c r="E23" s="170"/>
      <c r="F23" s="170"/>
      <c r="G23" s="170"/>
      <c r="H23" s="170"/>
    </row>
    <row r="24" spans="1:8" x14ac:dyDescent="0.2">
      <c r="A24" s="25" t="s">
        <v>419</v>
      </c>
      <c r="B24" s="25"/>
      <c r="C24" s="25"/>
      <c r="D24" s="25"/>
      <c r="E24" s="25"/>
      <c r="F24" s="25"/>
      <c r="G24" s="25"/>
      <c r="H24" s="170"/>
    </row>
    <row r="25" spans="1:8" x14ac:dyDescent="0.2">
      <c r="A25" s="207" t="s">
        <v>429</v>
      </c>
      <c r="B25" s="80" t="s">
        <v>117</v>
      </c>
      <c r="C25" s="232">
        <f>'Прогнозные отчеты'!C63</f>
        <v>46724.032527303716</v>
      </c>
      <c r="D25" s="232">
        <f>'Прогнозные отчеты'!D63</f>
        <v>122939.35168752813</v>
      </c>
      <c r="E25" s="232">
        <f>'Прогнозные отчеты'!E63</f>
        <v>273193.99723117321</v>
      </c>
      <c r="F25" s="232">
        <f>'Прогнозные отчеты'!F63</f>
        <v>484432.12087283953</v>
      </c>
      <c r="G25" s="232">
        <f>'Прогнозные отчеты'!G63</f>
        <v>519016.4855325754</v>
      </c>
      <c r="H25" s="170"/>
    </row>
    <row r="26" spans="1:8" x14ac:dyDescent="0.2">
      <c r="A26" s="207" t="s">
        <v>430</v>
      </c>
      <c r="B26" s="80" t="s">
        <v>117</v>
      </c>
      <c r="C26" s="232">
        <f>-'Прогнозные отчеты'!C66</f>
        <v>0</v>
      </c>
      <c r="D26" s="232">
        <f>-'Прогнозные отчеты'!D66</f>
        <v>-7778.2</v>
      </c>
      <c r="E26" s="232">
        <f>-'Прогнозные отчеты'!E66</f>
        <v>0</v>
      </c>
      <c r="F26" s="232">
        <f>-'Прогнозные отчеты'!F66</f>
        <v>-26401.1</v>
      </c>
      <c r="G26" s="232">
        <f>-'Прогнозные отчеты'!G66</f>
        <v>0</v>
      </c>
      <c r="H26" s="170"/>
    </row>
    <row r="27" spans="1:8" s="161" customFormat="1" x14ac:dyDescent="0.2">
      <c r="A27" s="167" t="s">
        <v>419</v>
      </c>
      <c r="B27" s="167"/>
      <c r="C27" s="233" t="str">
        <f>IF(C26=0,"-",C25/C26)</f>
        <v>-</v>
      </c>
      <c r="D27" s="233">
        <f>IF(D26=0,"-",D25/D26)</f>
        <v>-15.805630054193532</v>
      </c>
      <c r="E27" s="233" t="str">
        <f>IF(E26=0,"-",E25/E26)</f>
        <v>-</v>
      </c>
      <c r="F27" s="233">
        <f>IF(F26=0,"-",F25/F26)</f>
        <v>-18.348937009171571</v>
      </c>
      <c r="G27" s="233" t="str">
        <f>IF(G26=0,"-",G25/G26)</f>
        <v>-</v>
      </c>
      <c r="H27" s="240"/>
    </row>
    <row r="28" spans="1:8" x14ac:dyDescent="0.2">
      <c r="A28" s="170"/>
      <c r="B28" s="170"/>
      <c r="C28" s="170"/>
      <c r="D28" s="170"/>
      <c r="E28" s="170"/>
      <c r="F28" s="170"/>
      <c r="G28" s="254"/>
      <c r="H28" s="170"/>
    </row>
    <row r="29" spans="1:8" x14ac:dyDescent="0.2">
      <c r="A29" s="170"/>
      <c r="B29" s="170"/>
      <c r="C29" s="170"/>
      <c r="D29" s="170"/>
      <c r="E29" s="170"/>
      <c r="F29" s="170"/>
      <c r="G29" s="170"/>
      <c r="H29" s="170"/>
    </row>
    <row r="30" spans="1:8" x14ac:dyDescent="0.2">
      <c r="A30" s="170"/>
      <c r="B30" s="170"/>
      <c r="C30" s="170"/>
      <c r="D30" s="170"/>
      <c r="E30" s="170"/>
      <c r="F30" s="170"/>
      <c r="G30" s="170"/>
      <c r="H30" s="170"/>
    </row>
  </sheetData>
  <hyperlinks>
    <hyperlink ref="A1" r:id="rId1"/>
  </hyperlinks>
  <pageMargins left="0.7" right="0.7" top="0.75" bottom="0.75" header="0.3" footer="0.3"/>
  <pageSetup paperSize="9" orientation="portrait" horizontalDpi="1200" verticalDpi="12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88"/>
  <sheetViews>
    <sheetView zoomScale="97" zoomScaleNormal="97" workbookViewId="0">
      <selection activeCell="C1" sqref="C1"/>
    </sheetView>
  </sheetViews>
  <sheetFormatPr defaultRowHeight="12.75" x14ac:dyDescent="0.2"/>
  <cols>
    <col min="1" max="1" width="3.7109375" style="2" customWidth="1"/>
    <col min="2" max="2" width="3.140625" style="2" customWidth="1"/>
    <col min="3" max="3" width="23" style="2" customWidth="1"/>
    <col min="4" max="4" width="9.140625" style="2" customWidth="1"/>
    <col min="5" max="5" width="10.42578125" style="2" bestFit="1" customWidth="1"/>
    <col min="6" max="12" width="10" style="2" bestFit="1" customWidth="1"/>
    <col min="13" max="13" width="10.42578125" style="2" bestFit="1" customWidth="1"/>
    <col min="14" max="16" width="10" style="2" bestFit="1" customWidth="1"/>
    <col min="17" max="24" width="10.85546875" style="2" bestFit="1" customWidth="1"/>
    <col min="25" max="25" width="9.140625" style="2" customWidth="1"/>
    <col min="26" max="26" width="13.7109375" style="2" customWidth="1"/>
    <col min="27" max="16384" width="9.140625" style="2"/>
  </cols>
  <sheetData>
    <row r="1" spans="1:24" ht="18" x14ac:dyDescent="0.25">
      <c r="C1" s="319" t="s">
        <v>573</v>
      </c>
    </row>
    <row r="2" spans="1:24" x14ac:dyDescent="0.2">
      <c r="A2" s="11" t="s">
        <v>109</v>
      </c>
      <c r="B2" s="12"/>
      <c r="C2" s="12"/>
      <c r="D2" s="2" t="s">
        <v>108</v>
      </c>
      <c r="E2" s="3" t="s">
        <v>87</v>
      </c>
      <c r="F2" s="3" t="s">
        <v>88</v>
      </c>
      <c r="G2" s="3" t="s">
        <v>89</v>
      </c>
      <c r="H2" s="3" t="s">
        <v>90</v>
      </c>
      <c r="I2" s="4" t="s">
        <v>91</v>
      </c>
      <c r="J2" s="4" t="s">
        <v>92</v>
      </c>
      <c r="K2" s="4" t="s">
        <v>93</v>
      </c>
      <c r="L2" s="4" t="s">
        <v>94</v>
      </c>
      <c r="M2" s="5" t="s">
        <v>95</v>
      </c>
      <c r="N2" s="5" t="s">
        <v>96</v>
      </c>
      <c r="O2" s="5" t="s">
        <v>97</v>
      </c>
      <c r="P2" s="5" t="s">
        <v>98</v>
      </c>
      <c r="Q2" s="6" t="s">
        <v>99</v>
      </c>
      <c r="R2" s="6" t="s">
        <v>100</v>
      </c>
      <c r="S2" s="6" t="s">
        <v>101</v>
      </c>
      <c r="T2" s="6" t="s">
        <v>102</v>
      </c>
      <c r="U2" s="7" t="s">
        <v>103</v>
      </c>
      <c r="V2" s="7" t="s">
        <v>104</v>
      </c>
      <c r="W2" s="7" t="s">
        <v>105</v>
      </c>
      <c r="X2" s="7" t="s">
        <v>106</v>
      </c>
    </row>
    <row r="4" spans="1:24" x14ac:dyDescent="0.2">
      <c r="A4" s="25" t="s">
        <v>289</v>
      </c>
      <c r="B4" s="9"/>
      <c r="C4" s="9"/>
      <c r="D4" s="19"/>
      <c r="E4" s="18"/>
    </row>
    <row r="5" spans="1:24" x14ac:dyDescent="0.2">
      <c r="A5" s="9"/>
      <c r="B5" s="284" t="s">
        <v>521</v>
      </c>
      <c r="C5" s="13"/>
      <c r="D5" s="14" t="s">
        <v>114</v>
      </c>
      <c r="E5" s="15">
        <f t="shared" ref="E5:X5" si="0">SUM(E6:E8)</f>
        <v>2000</v>
      </c>
      <c r="F5" s="15">
        <f t="shared" si="0"/>
        <v>7000</v>
      </c>
      <c r="G5" s="15">
        <f t="shared" si="0"/>
        <v>13000</v>
      </c>
      <c r="H5" s="15">
        <f t="shared" si="0"/>
        <v>20000</v>
      </c>
      <c r="I5" s="15">
        <f t="shared" si="0"/>
        <v>22500</v>
      </c>
      <c r="J5" s="15">
        <f t="shared" si="0"/>
        <v>25500</v>
      </c>
      <c r="K5" s="15">
        <f t="shared" si="0"/>
        <v>30500</v>
      </c>
      <c r="L5" s="15">
        <f t="shared" si="0"/>
        <v>34500</v>
      </c>
      <c r="M5" s="15">
        <f t="shared" si="0"/>
        <v>42500</v>
      </c>
      <c r="N5" s="15">
        <f t="shared" si="0"/>
        <v>50000</v>
      </c>
      <c r="O5" s="15">
        <f t="shared" si="0"/>
        <v>56000</v>
      </c>
      <c r="P5" s="15">
        <f t="shared" si="0"/>
        <v>62500</v>
      </c>
      <c r="Q5" s="15">
        <f t="shared" si="0"/>
        <v>70500</v>
      </c>
      <c r="R5" s="15">
        <f t="shared" si="0"/>
        <v>79500</v>
      </c>
      <c r="S5" s="15">
        <f t="shared" si="0"/>
        <v>94000</v>
      </c>
      <c r="T5" s="15">
        <f t="shared" si="0"/>
        <v>100000</v>
      </c>
      <c r="U5" s="15">
        <f t="shared" si="0"/>
        <v>70500</v>
      </c>
      <c r="V5" s="15">
        <f t="shared" si="0"/>
        <v>79500</v>
      </c>
      <c r="W5" s="15">
        <f t="shared" si="0"/>
        <v>94000</v>
      </c>
      <c r="X5" s="15">
        <f t="shared" si="0"/>
        <v>100000</v>
      </c>
    </row>
    <row r="6" spans="1:24" x14ac:dyDescent="0.2">
      <c r="A6" s="9"/>
      <c r="B6" s="13"/>
      <c r="C6" s="285" t="s">
        <v>523</v>
      </c>
      <c r="D6" s="14" t="s">
        <v>114</v>
      </c>
      <c r="E6" s="286">
        <v>1000</v>
      </c>
      <c r="F6" s="286">
        <v>5000</v>
      </c>
      <c r="G6" s="286">
        <v>9000</v>
      </c>
      <c r="H6" s="286">
        <v>13500</v>
      </c>
      <c r="I6" s="286">
        <v>15000</v>
      </c>
      <c r="J6" s="286">
        <v>17000</v>
      </c>
      <c r="K6" s="286">
        <v>21000</v>
      </c>
      <c r="L6" s="286">
        <v>24000</v>
      </c>
      <c r="M6" s="286">
        <v>28500</v>
      </c>
      <c r="N6" s="286">
        <v>33500</v>
      </c>
      <c r="O6" s="286">
        <v>37000</v>
      </c>
      <c r="P6" s="286">
        <v>40500</v>
      </c>
      <c r="Q6" s="286">
        <v>45000</v>
      </c>
      <c r="R6" s="286">
        <v>49000</v>
      </c>
      <c r="S6" s="286">
        <v>57000</v>
      </c>
      <c r="T6" s="286">
        <v>60000</v>
      </c>
      <c r="U6" s="286">
        <v>45000</v>
      </c>
      <c r="V6" s="286">
        <v>49000</v>
      </c>
      <c r="W6" s="286">
        <v>57000</v>
      </c>
      <c r="X6" s="286">
        <v>60000</v>
      </c>
    </row>
    <row r="7" spans="1:24" x14ac:dyDescent="0.2">
      <c r="A7" s="9"/>
      <c r="B7" s="13"/>
      <c r="C7" s="285" t="s">
        <v>524</v>
      </c>
      <c r="D7" s="14" t="s">
        <v>114</v>
      </c>
      <c r="E7" s="286">
        <v>1000</v>
      </c>
      <c r="F7" s="286">
        <v>2000</v>
      </c>
      <c r="G7" s="286">
        <v>4000</v>
      </c>
      <c r="H7" s="286">
        <v>6500</v>
      </c>
      <c r="I7" s="286">
        <v>7000</v>
      </c>
      <c r="J7" s="286">
        <v>8000</v>
      </c>
      <c r="K7" s="286">
        <v>8500</v>
      </c>
      <c r="L7" s="286">
        <v>9000</v>
      </c>
      <c r="M7" s="286">
        <v>11000</v>
      </c>
      <c r="N7" s="286">
        <v>13000</v>
      </c>
      <c r="O7" s="286">
        <v>15000</v>
      </c>
      <c r="P7" s="286">
        <v>17000</v>
      </c>
      <c r="Q7" s="286">
        <v>20000</v>
      </c>
      <c r="R7" s="286">
        <v>24000</v>
      </c>
      <c r="S7" s="286">
        <v>28000</v>
      </c>
      <c r="T7" s="286">
        <v>30000</v>
      </c>
      <c r="U7" s="286">
        <v>20000</v>
      </c>
      <c r="V7" s="286">
        <v>24000</v>
      </c>
      <c r="W7" s="286">
        <v>28000</v>
      </c>
      <c r="X7" s="286">
        <v>30000</v>
      </c>
    </row>
    <row r="8" spans="1:24" x14ac:dyDescent="0.2">
      <c r="A8" s="9"/>
      <c r="B8" s="13"/>
      <c r="C8" s="285" t="s">
        <v>525</v>
      </c>
      <c r="D8" s="14" t="s">
        <v>114</v>
      </c>
      <c r="E8" s="286">
        <v>0</v>
      </c>
      <c r="F8" s="286">
        <v>0</v>
      </c>
      <c r="G8" s="286">
        <v>0</v>
      </c>
      <c r="H8" s="286">
        <v>0</v>
      </c>
      <c r="I8" s="286">
        <v>500</v>
      </c>
      <c r="J8" s="286">
        <v>500</v>
      </c>
      <c r="K8" s="286">
        <v>1000</v>
      </c>
      <c r="L8" s="286">
        <v>1500</v>
      </c>
      <c r="M8" s="286">
        <v>3000</v>
      </c>
      <c r="N8" s="286">
        <v>3500</v>
      </c>
      <c r="O8" s="286">
        <v>4000</v>
      </c>
      <c r="P8" s="286">
        <v>5000</v>
      </c>
      <c r="Q8" s="286">
        <v>5500</v>
      </c>
      <c r="R8" s="286">
        <v>6500</v>
      </c>
      <c r="S8" s="286">
        <v>9000</v>
      </c>
      <c r="T8" s="286">
        <v>10000</v>
      </c>
      <c r="U8" s="286">
        <v>5500</v>
      </c>
      <c r="V8" s="286">
        <v>6500</v>
      </c>
      <c r="W8" s="286">
        <v>9000</v>
      </c>
      <c r="X8" s="286">
        <v>10000</v>
      </c>
    </row>
    <row r="9" spans="1:24" x14ac:dyDescent="0.2">
      <c r="A9" s="9"/>
      <c r="B9" s="284" t="s">
        <v>522</v>
      </c>
      <c r="C9" s="13"/>
      <c r="D9" s="14" t="s">
        <v>114</v>
      </c>
      <c r="E9" s="15">
        <f>SUM(E10:E12)</f>
        <v>27000</v>
      </c>
      <c r="F9" s="15">
        <f t="shared" ref="F9:X9" si="1">SUM(F10:F12)</f>
        <v>40000</v>
      </c>
      <c r="G9" s="15">
        <f t="shared" si="1"/>
        <v>55000</v>
      </c>
      <c r="H9" s="15">
        <f t="shared" si="1"/>
        <v>65000</v>
      </c>
      <c r="I9" s="15">
        <f t="shared" si="1"/>
        <v>85000</v>
      </c>
      <c r="J9" s="15">
        <f>SUM(J10:J12)</f>
        <v>110000</v>
      </c>
      <c r="K9" s="15">
        <f t="shared" si="1"/>
        <v>170000</v>
      </c>
      <c r="L9" s="15">
        <f t="shared" si="1"/>
        <v>210000</v>
      </c>
      <c r="M9" s="15">
        <f t="shared" si="1"/>
        <v>245000</v>
      </c>
      <c r="N9" s="15">
        <f t="shared" si="1"/>
        <v>285000</v>
      </c>
      <c r="O9" s="15">
        <f t="shared" si="1"/>
        <v>310000</v>
      </c>
      <c r="P9" s="15">
        <f t="shared" si="1"/>
        <v>340000</v>
      </c>
      <c r="Q9" s="15">
        <f t="shared" si="1"/>
        <v>365000</v>
      </c>
      <c r="R9" s="15">
        <f t="shared" si="1"/>
        <v>385000</v>
      </c>
      <c r="S9" s="15">
        <f t="shared" si="1"/>
        <v>405000</v>
      </c>
      <c r="T9" s="15">
        <f t="shared" si="1"/>
        <v>445000</v>
      </c>
      <c r="U9" s="15">
        <f t="shared" si="1"/>
        <v>465000</v>
      </c>
      <c r="V9" s="15">
        <f t="shared" si="1"/>
        <v>495000</v>
      </c>
      <c r="W9" s="15">
        <f t="shared" si="1"/>
        <v>525000</v>
      </c>
      <c r="X9" s="15">
        <f t="shared" si="1"/>
        <v>560000</v>
      </c>
    </row>
    <row r="10" spans="1:24" x14ac:dyDescent="0.2">
      <c r="A10" s="9"/>
      <c r="B10" s="13"/>
      <c r="C10" s="285" t="s">
        <v>523</v>
      </c>
      <c r="D10" s="14" t="s">
        <v>114</v>
      </c>
      <c r="E10" s="16">
        <v>20000</v>
      </c>
      <c r="F10" s="16">
        <v>25000</v>
      </c>
      <c r="G10" s="16">
        <v>35000</v>
      </c>
      <c r="H10" s="16">
        <v>40000</v>
      </c>
      <c r="I10" s="16">
        <v>55000</v>
      </c>
      <c r="J10" s="16">
        <v>70000</v>
      </c>
      <c r="K10" s="16">
        <v>80000</v>
      </c>
      <c r="L10" s="16">
        <v>90000</v>
      </c>
      <c r="M10" s="16">
        <v>100000</v>
      </c>
      <c r="N10" s="16">
        <v>105000</v>
      </c>
      <c r="O10" s="16">
        <v>110000</v>
      </c>
      <c r="P10" s="16">
        <v>120000</v>
      </c>
      <c r="Q10" s="16">
        <v>130000</v>
      </c>
      <c r="R10" s="16">
        <v>135000</v>
      </c>
      <c r="S10" s="16">
        <v>140000</v>
      </c>
      <c r="T10" s="16">
        <v>150000</v>
      </c>
      <c r="U10" s="16">
        <v>155000</v>
      </c>
      <c r="V10" s="16">
        <v>160000</v>
      </c>
      <c r="W10" s="16">
        <v>165000</v>
      </c>
      <c r="X10" s="16">
        <v>180000</v>
      </c>
    </row>
    <row r="11" spans="1:24" x14ac:dyDescent="0.2">
      <c r="A11" s="9"/>
      <c r="B11" s="13"/>
      <c r="C11" s="285" t="s">
        <v>524</v>
      </c>
      <c r="D11" s="14" t="s">
        <v>114</v>
      </c>
      <c r="E11" s="16">
        <v>7000</v>
      </c>
      <c r="F11" s="16">
        <v>15000</v>
      </c>
      <c r="G11" s="16">
        <v>20000</v>
      </c>
      <c r="H11" s="16">
        <v>25000</v>
      </c>
      <c r="I11" s="16">
        <v>30000</v>
      </c>
      <c r="J11" s="16">
        <v>40000</v>
      </c>
      <c r="K11" s="16">
        <v>80000</v>
      </c>
      <c r="L11" s="16">
        <v>100000</v>
      </c>
      <c r="M11" s="16">
        <v>120000</v>
      </c>
      <c r="N11" s="16">
        <v>150000</v>
      </c>
      <c r="O11" s="16">
        <v>155000</v>
      </c>
      <c r="P11" s="16">
        <v>160000</v>
      </c>
      <c r="Q11" s="16">
        <v>170000</v>
      </c>
      <c r="R11" s="16">
        <v>180000</v>
      </c>
      <c r="S11" s="16">
        <v>190000</v>
      </c>
      <c r="T11" s="16">
        <v>210000</v>
      </c>
      <c r="U11" s="16">
        <v>220000</v>
      </c>
      <c r="V11" s="16">
        <v>240000</v>
      </c>
      <c r="W11" s="16">
        <v>260000</v>
      </c>
      <c r="X11" s="16">
        <v>270000</v>
      </c>
    </row>
    <row r="12" spans="1:24" x14ac:dyDescent="0.2">
      <c r="A12" s="9"/>
      <c r="B12" s="13"/>
      <c r="C12" s="285" t="s">
        <v>526</v>
      </c>
      <c r="D12" s="14" t="s">
        <v>114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10000</v>
      </c>
      <c r="L12" s="16">
        <v>20000</v>
      </c>
      <c r="M12" s="16">
        <v>25000</v>
      </c>
      <c r="N12" s="16">
        <v>30000</v>
      </c>
      <c r="O12" s="16">
        <v>45000</v>
      </c>
      <c r="P12" s="16">
        <v>60000</v>
      </c>
      <c r="Q12" s="16">
        <v>65000</v>
      </c>
      <c r="R12" s="16">
        <v>70000</v>
      </c>
      <c r="S12" s="16">
        <v>75000</v>
      </c>
      <c r="T12" s="16">
        <v>85000</v>
      </c>
      <c r="U12" s="16">
        <v>90000</v>
      </c>
      <c r="V12" s="16">
        <v>95000</v>
      </c>
      <c r="W12" s="16">
        <v>100000</v>
      </c>
      <c r="X12" s="16">
        <v>110000</v>
      </c>
    </row>
    <row r="13" spans="1:24" x14ac:dyDescent="0.2">
      <c r="A13" s="9"/>
      <c r="B13" s="10" t="s">
        <v>113</v>
      </c>
      <c r="C13" s="10"/>
      <c r="D13" s="14" t="s">
        <v>114</v>
      </c>
      <c r="E13" s="17">
        <f>SUM(E5,E9)</f>
        <v>29000</v>
      </c>
      <c r="F13" s="17">
        <f t="shared" ref="F13:X13" si="2">SUM(F5,F9)</f>
        <v>47000</v>
      </c>
      <c r="G13" s="17">
        <f t="shared" si="2"/>
        <v>68000</v>
      </c>
      <c r="H13" s="17">
        <f t="shared" si="2"/>
        <v>85000</v>
      </c>
      <c r="I13" s="17">
        <f t="shared" si="2"/>
        <v>107500</v>
      </c>
      <c r="J13" s="17">
        <f t="shared" si="2"/>
        <v>135500</v>
      </c>
      <c r="K13" s="17">
        <f t="shared" si="2"/>
        <v>200500</v>
      </c>
      <c r="L13" s="17">
        <f t="shared" si="2"/>
        <v>244500</v>
      </c>
      <c r="M13" s="17">
        <f t="shared" si="2"/>
        <v>287500</v>
      </c>
      <c r="N13" s="17">
        <f t="shared" si="2"/>
        <v>335000</v>
      </c>
      <c r="O13" s="17">
        <f t="shared" si="2"/>
        <v>366000</v>
      </c>
      <c r="P13" s="17">
        <f t="shared" si="2"/>
        <v>402500</v>
      </c>
      <c r="Q13" s="17">
        <f t="shared" si="2"/>
        <v>435500</v>
      </c>
      <c r="R13" s="17">
        <f t="shared" si="2"/>
        <v>464500</v>
      </c>
      <c r="S13" s="17">
        <f t="shared" si="2"/>
        <v>499000</v>
      </c>
      <c r="T13" s="17">
        <f t="shared" si="2"/>
        <v>545000</v>
      </c>
      <c r="U13" s="17">
        <f t="shared" si="2"/>
        <v>535500</v>
      </c>
      <c r="V13" s="17">
        <f t="shared" si="2"/>
        <v>574500</v>
      </c>
      <c r="W13" s="17">
        <f t="shared" si="2"/>
        <v>619000</v>
      </c>
      <c r="X13" s="17">
        <f t="shared" si="2"/>
        <v>660000</v>
      </c>
    </row>
    <row r="14" spans="1:24" x14ac:dyDescent="0.2">
      <c r="A14" s="9"/>
      <c r="B14" s="10"/>
      <c r="C14" s="10"/>
      <c r="D14" s="14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</row>
    <row r="15" spans="1:24" x14ac:dyDescent="0.2">
      <c r="A15" s="25" t="s">
        <v>290</v>
      </c>
      <c r="B15" s="9"/>
      <c r="C15" s="9"/>
      <c r="E15" s="18"/>
    </row>
    <row r="16" spans="1:24" x14ac:dyDescent="0.2">
      <c r="B16" s="284" t="s">
        <v>521</v>
      </c>
      <c r="C16" s="13"/>
      <c r="D16" s="19" t="s">
        <v>123</v>
      </c>
      <c r="E16" s="78">
        <v>0.65</v>
      </c>
      <c r="F16" s="78">
        <v>0.65</v>
      </c>
      <c r="G16" s="78">
        <v>0.65</v>
      </c>
      <c r="H16" s="78">
        <v>0.65</v>
      </c>
      <c r="I16" s="78">
        <v>0.65</v>
      </c>
      <c r="J16" s="78">
        <v>0.65</v>
      </c>
      <c r="K16" s="78">
        <v>0.65</v>
      </c>
      <c r="L16" s="78">
        <v>0.65</v>
      </c>
      <c r="M16" s="78">
        <v>0.65</v>
      </c>
      <c r="N16" s="78">
        <v>0.65</v>
      </c>
      <c r="O16" s="78">
        <v>0.65</v>
      </c>
      <c r="P16" s="78">
        <v>0.65</v>
      </c>
      <c r="Q16" s="78">
        <v>0.65</v>
      </c>
      <c r="R16" s="78">
        <v>0.65</v>
      </c>
      <c r="S16" s="78">
        <v>0.65</v>
      </c>
      <c r="T16" s="78">
        <v>0.65</v>
      </c>
      <c r="U16" s="78">
        <v>0.65</v>
      </c>
      <c r="V16" s="78">
        <v>0.65</v>
      </c>
      <c r="W16" s="78">
        <v>0.65</v>
      </c>
      <c r="X16" s="78">
        <v>0.65</v>
      </c>
    </row>
    <row r="17" spans="1:26" x14ac:dyDescent="0.2">
      <c r="A17" s="25"/>
      <c r="B17" s="284" t="s">
        <v>522</v>
      </c>
      <c r="C17" s="13"/>
      <c r="D17" s="19" t="s">
        <v>123</v>
      </c>
      <c r="E17" s="78">
        <v>0.7</v>
      </c>
      <c r="F17" s="78">
        <v>0.7</v>
      </c>
      <c r="G17" s="78">
        <v>0.7</v>
      </c>
      <c r="H17" s="78">
        <v>0.7</v>
      </c>
      <c r="I17" s="78">
        <v>0.5</v>
      </c>
      <c r="J17" s="78">
        <v>0.5</v>
      </c>
      <c r="K17" s="78">
        <v>0.5</v>
      </c>
      <c r="L17" s="78">
        <v>0.5</v>
      </c>
      <c r="M17" s="78">
        <v>0.5</v>
      </c>
      <c r="N17" s="78">
        <v>0.5</v>
      </c>
      <c r="O17" s="78">
        <v>0.5</v>
      </c>
      <c r="P17" s="78">
        <v>0.5</v>
      </c>
      <c r="Q17" s="78">
        <v>0.5</v>
      </c>
      <c r="R17" s="78">
        <v>0.5</v>
      </c>
      <c r="S17" s="78">
        <v>0.5</v>
      </c>
      <c r="T17" s="78">
        <v>0.5</v>
      </c>
      <c r="U17" s="78">
        <v>0.5</v>
      </c>
      <c r="V17" s="78">
        <v>0.5</v>
      </c>
      <c r="W17" s="78">
        <v>0.5</v>
      </c>
      <c r="X17" s="78">
        <v>0.5</v>
      </c>
    </row>
    <row r="19" spans="1:26" x14ac:dyDescent="0.2">
      <c r="A19" s="25" t="s">
        <v>396</v>
      </c>
      <c r="B19" s="9"/>
      <c r="C19" s="9"/>
    </row>
    <row r="20" spans="1:26" x14ac:dyDescent="0.2">
      <c r="A20" s="9"/>
      <c r="B20" s="284" t="s">
        <v>521</v>
      </c>
      <c r="C20" s="13"/>
      <c r="D20" s="14" t="s">
        <v>114</v>
      </c>
      <c r="E20" s="15">
        <f>IF(E16&gt;0,E5/E16,0)</f>
        <v>3076.9230769230767</v>
      </c>
      <c r="F20" s="15">
        <f>IF(F16&gt;0,F5/F16,0)</f>
        <v>10769.23076923077</v>
      </c>
      <c r="G20" s="15">
        <f t="shared" ref="G20:X20" si="3">IF(G16&gt;0,G5/G16,0)</f>
        <v>20000</v>
      </c>
      <c r="H20" s="15">
        <f t="shared" si="3"/>
        <v>30769.23076923077</v>
      </c>
      <c r="I20" s="15">
        <f t="shared" si="3"/>
        <v>34615.384615384617</v>
      </c>
      <c r="J20" s="15">
        <f t="shared" si="3"/>
        <v>39230.769230769227</v>
      </c>
      <c r="K20" s="15">
        <f t="shared" si="3"/>
        <v>46923.076923076922</v>
      </c>
      <c r="L20" s="15">
        <f t="shared" si="3"/>
        <v>53076.923076923078</v>
      </c>
      <c r="M20" s="15">
        <f t="shared" si="3"/>
        <v>65384.615384615383</v>
      </c>
      <c r="N20" s="15">
        <f t="shared" si="3"/>
        <v>76923.076923076922</v>
      </c>
      <c r="O20" s="15">
        <f t="shared" si="3"/>
        <v>86153.846153846156</v>
      </c>
      <c r="P20" s="15">
        <f t="shared" si="3"/>
        <v>96153.846153846156</v>
      </c>
      <c r="Q20" s="15">
        <f t="shared" si="3"/>
        <v>108461.53846153845</v>
      </c>
      <c r="R20" s="15">
        <f t="shared" si="3"/>
        <v>122307.6923076923</v>
      </c>
      <c r="S20" s="15">
        <f t="shared" si="3"/>
        <v>144615.38461538462</v>
      </c>
      <c r="T20" s="15">
        <f t="shared" si="3"/>
        <v>153846.15384615384</v>
      </c>
      <c r="U20" s="15">
        <f t="shared" si="3"/>
        <v>108461.53846153845</v>
      </c>
      <c r="V20" s="15">
        <f t="shared" si="3"/>
        <v>122307.6923076923</v>
      </c>
      <c r="W20" s="15">
        <f t="shared" si="3"/>
        <v>144615.38461538462</v>
      </c>
      <c r="X20" s="15">
        <f t="shared" si="3"/>
        <v>153846.15384615384</v>
      </c>
      <c r="Z20" s="68"/>
    </row>
    <row r="21" spans="1:26" x14ac:dyDescent="0.2">
      <c r="A21" s="9"/>
      <c r="B21" s="284" t="s">
        <v>522</v>
      </c>
      <c r="C21" s="13"/>
      <c r="D21" s="14" t="s">
        <v>114</v>
      </c>
      <c r="E21" s="15">
        <f>IF(E17&gt;0,E9/E17,0)</f>
        <v>38571.428571428572</v>
      </c>
      <c r="F21" s="15">
        <f>IF(F17&gt;0,F9/F17,0)</f>
        <v>57142.857142857145</v>
      </c>
      <c r="G21" s="15">
        <f t="shared" ref="G21:X21" si="4">IF(G17&gt;0,G9/G17,0)</f>
        <v>78571.42857142858</v>
      </c>
      <c r="H21" s="15">
        <f t="shared" si="4"/>
        <v>92857.14285714287</v>
      </c>
      <c r="I21" s="15">
        <f t="shared" si="4"/>
        <v>170000</v>
      </c>
      <c r="J21" s="15">
        <f t="shared" si="4"/>
        <v>220000</v>
      </c>
      <c r="K21" s="15">
        <f t="shared" si="4"/>
        <v>340000</v>
      </c>
      <c r="L21" s="15">
        <f t="shared" si="4"/>
        <v>420000</v>
      </c>
      <c r="M21" s="15">
        <f t="shared" si="4"/>
        <v>490000</v>
      </c>
      <c r="N21" s="15">
        <f t="shared" si="4"/>
        <v>570000</v>
      </c>
      <c r="O21" s="15">
        <f t="shared" si="4"/>
        <v>620000</v>
      </c>
      <c r="P21" s="15">
        <f t="shared" si="4"/>
        <v>680000</v>
      </c>
      <c r="Q21" s="15">
        <f t="shared" si="4"/>
        <v>730000</v>
      </c>
      <c r="R21" s="15">
        <f t="shared" si="4"/>
        <v>770000</v>
      </c>
      <c r="S21" s="15">
        <f t="shared" si="4"/>
        <v>810000</v>
      </c>
      <c r="T21" s="15">
        <f t="shared" si="4"/>
        <v>890000</v>
      </c>
      <c r="U21" s="15">
        <f t="shared" si="4"/>
        <v>930000</v>
      </c>
      <c r="V21" s="15">
        <f t="shared" si="4"/>
        <v>990000</v>
      </c>
      <c r="W21" s="15">
        <f t="shared" si="4"/>
        <v>1050000</v>
      </c>
      <c r="X21" s="15">
        <f t="shared" si="4"/>
        <v>1120000</v>
      </c>
    </row>
    <row r="22" spans="1:26" x14ac:dyDescent="0.2">
      <c r="A22" s="9"/>
      <c r="B22" s="10" t="s">
        <v>113</v>
      </c>
      <c r="C22" s="10"/>
      <c r="D22" s="14" t="s">
        <v>114</v>
      </c>
      <c r="E22" s="17">
        <f>SUM(E20:E21)</f>
        <v>41648.351648351651</v>
      </c>
      <c r="F22" s="17">
        <f>SUM(F20:F21)</f>
        <v>67912.087912087911</v>
      </c>
      <c r="G22" s="17">
        <f t="shared" ref="G22:X22" si="5">SUM(G20:G21)</f>
        <v>98571.42857142858</v>
      </c>
      <c r="H22" s="17">
        <f t="shared" si="5"/>
        <v>123626.37362637364</v>
      </c>
      <c r="I22" s="17">
        <f t="shared" si="5"/>
        <v>204615.38461538462</v>
      </c>
      <c r="J22" s="17">
        <f t="shared" si="5"/>
        <v>259230.76923076922</v>
      </c>
      <c r="K22" s="17">
        <f t="shared" si="5"/>
        <v>386923.07692307694</v>
      </c>
      <c r="L22" s="17">
        <f t="shared" si="5"/>
        <v>473076.92307692306</v>
      </c>
      <c r="M22" s="17">
        <f t="shared" si="5"/>
        <v>555384.61538461538</v>
      </c>
      <c r="N22" s="17">
        <f t="shared" si="5"/>
        <v>646923.07692307688</v>
      </c>
      <c r="O22" s="17">
        <f t="shared" si="5"/>
        <v>706153.84615384613</v>
      </c>
      <c r="P22" s="17">
        <f t="shared" si="5"/>
        <v>776153.84615384613</v>
      </c>
      <c r="Q22" s="17">
        <f t="shared" si="5"/>
        <v>838461.5384615385</v>
      </c>
      <c r="R22" s="17">
        <f t="shared" si="5"/>
        <v>892307.69230769225</v>
      </c>
      <c r="S22" s="17">
        <f t="shared" si="5"/>
        <v>954615.38461538462</v>
      </c>
      <c r="T22" s="17">
        <f t="shared" si="5"/>
        <v>1043846.1538461539</v>
      </c>
      <c r="U22" s="17">
        <f t="shared" si="5"/>
        <v>1038461.5384615385</v>
      </c>
      <c r="V22" s="17">
        <f t="shared" si="5"/>
        <v>1112307.6923076923</v>
      </c>
      <c r="W22" s="17">
        <f t="shared" si="5"/>
        <v>1194615.3846153845</v>
      </c>
      <c r="X22" s="17">
        <f t="shared" si="5"/>
        <v>1273846.1538461538</v>
      </c>
    </row>
    <row r="23" spans="1:26" x14ac:dyDescent="0.2">
      <c r="A23" s="9"/>
      <c r="B23" s="9"/>
      <c r="C23" s="9"/>
    </row>
    <row r="24" spans="1:26" x14ac:dyDescent="0.2">
      <c r="A24" s="25" t="s">
        <v>283</v>
      </c>
      <c r="B24" s="9"/>
      <c r="C24" s="9"/>
    </row>
    <row r="25" spans="1:26" x14ac:dyDescent="0.2">
      <c r="A25" s="25"/>
      <c r="B25" s="284" t="s">
        <v>521</v>
      </c>
      <c r="C25" s="13"/>
      <c r="D25" s="14"/>
    </row>
    <row r="26" spans="1:26" x14ac:dyDescent="0.2">
      <c r="A26" s="25"/>
      <c r="B26" s="13"/>
      <c r="C26" s="285" t="s">
        <v>523</v>
      </c>
      <c r="D26" s="14" t="s">
        <v>116</v>
      </c>
      <c r="E26" s="16">
        <v>1300</v>
      </c>
      <c r="F26" s="15">
        <f>E26*(1+Окружение!E8)</f>
        <v>1323.717981428141</v>
      </c>
      <c r="G26" s="15">
        <f>F26*(1+Окружение!F8)</f>
        <v>1347.8686879663016</v>
      </c>
      <c r="H26" s="15">
        <f>G26*(1+Окружение!G8)</f>
        <v>1372.4600145114996</v>
      </c>
      <c r="I26" s="15">
        <f>H26*(1+Окружение!H8)</f>
        <v>1398.3117923841301</v>
      </c>
      <c r="J26" s="15">
        <f>I26*(1+Окружение!I8)</f>
        <v>1424.6505166246761</v>
      </c>
      <c r="K26" s="15">
        <f>J26*(1+Окружение!J8)</f>
        <v>1451.4853593978685</v>
      </c>
      <c r="L26" s="15">
        <f>K26*(1+Окружение!K8)</f>
        <v>1478.8256656361414</v>
      </c>
      <c r="M26" s="15">
        <f>L26*(1+Окружение!L8)</f>
        <v>1500.5257259639513</v>
      </c>
      <c r="N26" s="15">
        <f>M26*(1+Окружение!M8)</f>
        <v>1522.5442096388622</v>
      </c>
      <c r="O26" s="15">
        <f>N26*(1+Окружение!N8)</f>
        <v>1544.8857891560858</v>
      </c>
      <c r="P26" s="15">
        <f>O26*(1+Окружение!O8)</f>
        <v>1567.5552055743101</v>
      </c>
      <c r="Q26" s="15">
        <f>P26*(1+Окружение!P8)</f>
        <v>1586.7926105375791</v>
      </c>
      <c r="R26" s="15">
        <f>Q26*(1+Окружение!Q8)</f>
        <v>1606.2661014443636</v>
      </c>
      <c r="S26" s="15">
        <f>R26*(1+Окружение!R8)</f>
        <v>1625.978575596708</v>
      </c>
      <c r="T26" s="15">
        <f>S26*(1+Окружение!S8)</f>
        <v>1645.9329658530262</v>
      </c>
      <c r="U26" s="15">
        <f>T26*(1+Окружение!T8)</f>
        <v>1666.1322410644586</v>
      </c>
      <c r="V26" s="15">
        <f>U26*(1+Окружение!U8)</f>
        <v>1686.5794065165824</v>
      </c>
      <c r="W26" s="15">
        <f>V26*(1+Окружение!V8)</f>
        <v>1707.2775043765439</v>
      </c>
      <c r="X26" s="15">
        <f>W26*(1+Окружение!W8)</f>
        <v>1728.2296141456782</v>
      </c>
    </row>
    <row r="27" spans="1:26" x14ac:dyDescent="0.2">
      <c r="A27" s="25"/>
      <c r="B27" s="13"/>
      <c r="C27" s="285" t="s">
        <v>524</v>
      </c>
      <c r="D27" s="14" t="s">
        <v>116</v>
      </c>
      <c r="E27" s="16">
        <v>1600</v>
      </c>
      <c r="F27" s="15">
        <f>E27*(1+Окружение!E8)</f>
        <v>1629.191361757712</v>
      </c>
      <c r="G27" s="15">
        <f>F27*(1+Окружение!F8)</f>
        <v>1658.9153082662174</v>
      </c>
      <c r="H27" s="15">
        <f>G27*(1+Окружение!G8)</f>
        <v>1689.1815563218456</v>
      </c>
      <c r="I27" s="15">
        <f>H27*(1+Окружение!H8)</f>
        <v>1720.9991290881599</v>
      </c>
      <c r="J27" s="15">
        <f>I27*(1+Окружение!I8)</f>
        <v>1753.4160204611396</v>
      </c>
      <c r="K27" s="15">
        <f>J27*(1+Окружение!J8)</f>
        <v>1786.4435192589146</v>
      </c>
      <c r="L27" s="15">
        <f>K27*(1+Окружение!K8)</f>
        <v>1820.0931269367888</v>
      </c>
      <c r="M27" s="15">
        <f>L27*(1+Окружение!L8)</f>
        <v>1846.8008934940933</v>
      </c>
      <c r="N27" s="15">
        <f>M27*(1+Окружение!M8)</f>
        <v>1873.9005657093683</v>
      </c>
      <c r="O27" s="15">
        <f>N27*(1+Окружение!N8)</f>
        <v>1901.3978943459513</v>
      </c>
      <c r="P27" s="15">
        <f>O27*(1+Окружение!O8)</f>
        <v>1929.2987145529964</v>
      </c>
      <c r="Q27" s="15">
        <f>P27*(1+Окружение!P8)</f>
        <v>1952.9755206616351</v>
      </c>
      <c r="R27" s="15">
        <f>Q27*(1+Окружение!Q8)</f>
        <v>1976.9428940853697</v>
      </c>
      <c r="S27" s="15">
        <f>R27*(1+Окружение!R8)</f>
        <v>2001.2044007344089</v>
      </c>
      <c r="T27" s="15">
        <f>S27*(1+Окружение!S8)</f>
        <v>2025.7636502806467</v>
      </c>
      <c r="U27" s="15">
        <f>T27*(1+Окружение!T8)</f>
        <v>2050.6242966947175</v>
      </c>
      <c r="V27" s="15">
        <f>U27*(1+Окружение!U8)</f>
        <v>2075.7900387896389</v>
      </c>
      <c r="W27" s="15">
        <f>V27*(1+Окружение!V8)</f>
        <v>2101.26462077113</v>
      </c>
      <c r="X27" s="15">
        <f>W27*(1+Окружение!W8)</f>
        <v>2127.0518327946797</v>
      </c>
    </row>
    <row r="28" spans="1:26" x14ac:dyDescent="0.2">
      <c r="A28" s="25"/>
      <c r="B28" s="13"/>
      <c r="C28" s="285" t="s">
        <v>525</v>
      </c>
      <c r="D28" s="14" t="s">
        <v>116</v>
      </c>
      <c r="E28" s="111">
        <v>2200</v>
      </c>
      <c r="F28" s="112">
        <f>E28*(1+Окружение!E8)</f>
        <v>2240.138122416854</v>
      </c>
      <c r="G28" s="112">
        <f>F28*(1+Окружение!F8)</f>
        <v>2281.0085488660488</v>
      </c>
      <c r="H28" s="112">
        <f>G28*(1+Окружение!G8)</f>
        <v>2322.6246399425377</v>
      </c>
      <c r="I28" s="112">
        <f>H28*(1+Окружение!H8)</f>
        <v>2366.3738024962199</v>
      </c>
      <c r="J28" s="112">
        <f>I28*(1+Окружение!I8)</f>
        <v>2410.9470281340668</v>
      </c>
      <c r="K28" s="112">
        <f>J28*(1+Окружение!J8)</f>
        <v>2456.3598389810077</v>
      </c>
      <c r="L28" s="112">
        <f>K28*(1+Окружение!K8)</f>
        <v>2502.6280495380847</v>
      </c>
      <c r="M28" s="112">
        <f>L28*(1+Окружение!L8)</f>
        <v>2539.3512285543784</v>
      </c>
      <c r="N28" s="112">
        <f>M28*(1+Окружение!M8)</f>
        <v>2576.6132778503816</v>
      </c>
      <c r="O28" s="112">
        <f>N28*(1+Окружение!N8)</f>
        <v>2614.4221047256829</v>
      </c>
      <c r="P28" s="112">
        <f>O28*(1+Окружение!O8)</f>
        <v>2652.7857325103701</v>
      </c>
      <c r="Q28" s="112">
        <f>P28*(1+Окружение!P8)</f>
        <v>2685.3413409097484</v>
      </c>
      <c r="R28" s="112">
        <f>Q28*(1+Окружение!Q8)</f>
        <v>2718.2964793673837</v>
      </c>
      <c r="S28" s="112">
        <f>R28*(1+Окружение!R8)</f>
        <v>2751.6560510098125</v>
      </c>
      <c r="T28" s="112">
        <f>S28*(1+Окружение!S8)</f>
        <v>2785.4250191358897</v>
      </c>
      <c r="U28" s="112">
        <f>T28*(1+Окружение!T8)</f>
        <v>2819.6084079552365</v>
      </c>
      <c r="V28" s="112">
        <f>U28*(1+Окружение!U8)</f>
        <v>2854.2113033357537</v>
      </c>
      <c r="W28" s="112">
        <f>V28*(1+Окружение!V8)</f>
        <v>2889.2388535603041</v>
      </c>
      <c r="X28" s="112">
        <f>W28*(1+Окружение!W8)</f>
        <v>2924.6962700926852</v>
      </c>
    </row>
    <row r="29" spans="1:26" x14ac:dyDescent="0.2">
      <c r="A29" s="10"/>
      <c r="B29" s="9"/>
      <c r="C29" s="9" t="s">
        <v>401</v>
      </c>
      <c r="D29" s="14" t="s">
        <v>116</v>
      </c>
      <c r="E29" s="15">
        <f>IF(E5&gt;0,(E26*E6+E27*E7+E28*E8)/E5,0)</f>
        <v>1450</v>
      </c>
      <c r="F29" s="15">
        <f t="shared" ref="F29:X29" si="6">IF(F5&gt;0,(F26*F6+F27*F7+F28*F8)/F5,0)</f>
        <v>1410.9960900937326</v>
      </c>
      <c r="G29" s="15">
        <f t="shared" si="6"/>
        <v>1443.5753403662759</v>
      </c>
      <c r="H29" s="15">
        <f t="shared" si="6"/>
        <v>1475.3945155998622</v>
      </c>
      <c r="I29" s="15">
        <f t="shared" si="6"/>
        <v>1520.2158973612079</v>
      </c>
      <c r="J29" s="15">
        <f t="shared" si="6"/>
        <v>1547.1317827598291</v>
      </c>
      <c r="K29" s="15">
        <f t="shared" si="6"/>
        <v>1577.7810590176073</v>
      </c>
      <c r="L29" s="15">
        <f t="shared" si="6"/>
        <v>1612.3651070146557</v>
      </c>
      <c r="M29" s="15">
        <f t="shared" si="6"/>
        <v>1663.478745978136</v>
      </c>
      <c r="N29" s="15">
        <f t="shared" si="6"/>
        <v>1687.6816969920001</v>
      </c>
      <c r="O29" s="15">
        <f t="shared" si="6"/>
        <v>1716.7755541583422</v>
      </c>
      <c r="P29" s="15">
        <f t="shared" si="6"/>
        <v>1752.7678821713978</v>
      </c>
      <c r="Q29" s="15">
        <f t="shared" si="6"/>
        <v>1776.3766703890408</v>
      </c>
      <c r="R29" s="15">
        <f t="shared" si="6"/>
        <v>1809.0892521347257</v>
      </c>
      <c r="S29" s="15">
        <f t="shared" si="6"/>
        <v>1845.5256009432351</v>
      </c>
      <c r="T29" s="15">
        <f t="shared" si="6"/>
        <v>1873.8313765095988</v>
      </c>
      <c r="U29" s="15">
        <f t="shared" si="6"/>
        <v>1865.1955039084937</v>
      </c>
      <c r="V29" s="15">
        <f t="shared" si="6"/>
        <v>1899.5437147414625</v>
      </c>
      <c r="W29" s="15">
        <f t="shared" si="6"/>
        <v>1937.8018809903976</v>
      </c>
      <c r="X29" s="15">
        <f t="shared" si="6"/>
        <v>1967.5229453350794</v>
      </c>
    </row>
    <row r="30" spans="1:26" x14ac:dyDescent="0.2">
      <c r="A30" s="25"/>
      <c r="B30" s="284" t="s">
        <v>522</v>
      </c>
      <c r="C30" s="13"/>
      <c r="D30" s="115"/>
      <c r="E30" s="116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37"/>
    </row>
    <row r="31" spans="1:26" x14ac:dyDescent="0.2">
      <c r="A31" s="25"/>
      <c r="B31" s="13"/>
      <c r="C31" s="285" t="s">
        <v>523</v>
      </c>
      <c r="D31" s="14" t="s">
        <v>116</v>
      </c>
      <c r="E31" s="113">
        <v>200</v>
      </c>
      <c r="F31" s="114">
        <f>E31*(1+Окружение!E8)</f>
        <v>203.648920219714</v>
      </c>
      <c r="G31" s="114">
        <f>F31*(1+Окружение!F8)</f>
        <v>207.36441353327717</v>
      </c>
      <c r="H31" s="114">
        <f>G31*(1+Окружение!G8)</f>
        <v>211.1476945402307</v>
      </c>
      <c r="I31" s="114">
        <f>H31*(1+Окружение!H8)</f>
        <v>215.12489113601998</v>
      </c>
      <c r="J31" s="114">
        <f>I31*(1+Окружение!I8)</f>
        <v>219.17700255764245</v>
      </c>
      <c r="K31" s="114">
        <f>J31*(1+Окружение!J8)</f>
        <v>223.30543990736433</v>
      </c>
      <c r="L31" s="114">
        <f>K31*(1+Окружение!K8)</f>
        <v>227.51164086709861</v>
      </c>
      <c r="M31" s="114">
        <f>L31*(1+Окружение!L8)</f>
        <v>230.85011168676166</v>
      </c>
      <c r="N31" s="114">
        <f>M31*(1+Окружение!M8)</f>
        <v>234.23757071367103</v>
      </c>
      <c r="O31" s="114">
        <f>N31*(1+Окружение!N8)</f>
        <v>237.67473679324391</v>
      </c>
      <c r="P31" s="114">
        <f>O31*(1+Окружение!O8)</f>
        <v>241.16233931912456</v>
      </c>
      <c r="Q31" s="114">
        <f>P31*(1+Окружение!P8)</f>
        <v>244.12194008270438</v>
      </c>
      <c r="R31" s="114">
        <f>Q31*(1+Окружение!Q8)</f>
        <v>247.11786176067122</v>
      </c>
      <c r="S31" s="114">
        <f>R31*(1+Окружение!R8)</f>
        <v>250.15055009180111</v>
      </c>
      <c r="T31" s="114">
        <f>S31*(1+Окружение!S8)</f>
        <v>253.22045628508084</v>
      </c>
      <c r="U31" s="114">
        <f>T31*(1+Окружение!T8)</f>
        <v>256.32803708683969</v>
      </c>
      <c r="V31" s="114">
        <f>U31*(1+Окружение!U8)</f>
        <v>259.47375484870486</v>
      </c>
      <c r="W31" s="114">
        <f>V31*(1+Окружение!V8)</f>
        <v>262.65807759639125</v>
      </c>
      <c r="X31" s="114">
        <f>W31*(1+Окружение!W8)</f>
        <v>265.88147909933497</v>
      </c>
    </row>
    <row r="32" spans="1:26" x14ac:dyDescent="0.2">
      <c r="A32" s="25"/>
      <c r="B32" s="13"/>
      <c r="C32" s="285" t="s">
        <v>524</v>
      </c>
      <c r="D32" s="14" t="s">
        <v>116</v>
      </c>
      <c r="E32" s="113">
        <v>280</v>
      </c>
      <c r="F32" s="114">
        <f>E32*(1+Окружение!E8)</f>
        <v>285.1084883075996</v>
      </c>
      <c r="G32" s="114">
        <f>F32*(1+Окружение!F8)</f>
        <v>290.31017894658805</v>
      </c>
      <c r="H32" s="114">
        <f>G32*(1+Окружение!G8)</f>
        <v>295.60677235632301</v>
      </c>
      <c r="I32" s="114">
        <f>H32*(1+Окружение!H8)</f>
        <v>301.17484759042799</v>
      </c>
      <c r="J32" s="114">
        <f>I32*(1+Окружение!I8)</f>
        <v>306.84780358069946</v>
      </c>
      <c r="K32" s="114">
        <f>J32*(1+Окружение!J8)</f>
        <v>312.62761587031008</v>
      </c>
      <c r="L32" s="114">
        <f>K32*(1+Окружение!K8)</f>
        <v>318.51629721393806</v>
      </c>
      <c r="M32" s="114">
        <f>L32*(1+Окружение!L8)</f>
        <v>323.19015636146634</v>
      </c>
      <c r="N32" s="114">
        <f>M32*(1+Окружение!M8)</f>
        <v>327.93259899913943</v>
      </c>
      <c r="O32" s="114">
        <f>N32*(1+Окружение!N8)</f>
        <v>332.74463151054141</v>
      </c>
      <c r="P32" s="114">
        <f>O32*(1+Окружение!O8)</f>
        <v>337.62727504677434</v>
      </c>
      <c r="Q32" s="114">
        <f>P32*(1+Окружение!P8)</f>
        <v>341.77071611578612</v>
      </c>
      <c r="R32" s="114">
        <f>Q32*(1+Окружение!Q8)</f>
        <v>345.96500646493968</v>
      </c>
      <c r="S32" s="114">
        <f>R32*(1+Окружение!R8)</f>
        <v>350.21077012852152</v>
      </c>
      <c r="T32" s="114">
        <f>S32*(1+Окружение!S8)</f>
        <v>354.50863879911316</v>
      </c>
      <c r="U32" s="114">
        <f>T32*(1+Окружение!T8)</f>
        <v>358.85925192157549</v>
      </c>
      <c r="V32" s="114">
        <f>U32*(1+Окружение!U8)</f>
        <v>363.26325678818677</v>
      </c>
      <c r="W32" s="114">
        <f>V32*(1+Окружение!V8)</f>
        <v>367.72130863494772</v>
      </c>
      <c r="X32" s="114">
        <f>W32*(1+Окружение!W8)</f>
        <v>372.23407073906895</v>
      </c>
    </row>
    <row r="33" spans="1:25" x14ac:dyDescent="0.2">
      <c r="A33" s="25"/>
      <c r="B33" s="13"/>
      <c r="C33" s="285" t="s">
        <v>526</v>
      </c>
      <c r="D33" s="14" t="s">
        <v>116</v>
      </c>
      <c r="E33" s="113">
        <v>250</v>
      </c>
      <c r="F33" s="114">
        <f>E33*(1+Окружение!E8)</f>
        <v>254.5611502746425</v>
      </c>
      <c r="G33" s="114">
        <f>F33*(1+Окружение!F8)</f>
        <v>259.20551691659648</v>
      </c>
      <c r="H33" s="114">
        <f>G33*(1+Окружение!G8)</f>
        <v>263.93461817528839</v>
      </c>
      <c r="I33" s="114">
        <f>H33*(1+Окружение!H8)</f>
        <v>268.90611392002501</v>
      </c>
      <c r="J33" s="114">
        <f>I33*(1+Окружение!I8)</f>
        <v>273.9712531970531</v>
      </c>
      <c r="K33" s="114">
        <f>J33*(1+Окружение!J8)</f>
        <v>279.13179988420546</v>
      </c>
      <c r="L33" s="114">
        <f>K33*(1+Окружение!K8)</f>
        <v>284.3895510838733</v>
      </c>
      <c r="M33" s="114">
        <f>L33*(1+Окружение!L8)</f>
        <v>288.56263960845212</v>
      </c>
      <c r="N33" s="114">
        <f>M33*(1+Окружение!M8)</f>
        <v>292.7969633920888</v>
      </c>
      <c r="O33" s="114">
        <f>N33*(1+Окружение!N8)</f>
        <v>297.09342099155486</v>
      </c>
      <c r="P33" s="114">
        <f>O33*(1+Окружение!O8)</f>
        <v>301.45292414890565</v>
      </c>
      <c r="Q33" s="114">
        <f>P33*(1+Окружение!P8)</f>
        <v>305.15242510338044</v>
      </c>
      <c r="R33" s="114">
        <f>Q33*(1+Окружение!Q8)</f>
        <v>308.89732720083902</v>
      </c>
      <c r="S33" s="114">
        <f>R33*(1+Окружение!R8)</f>
        <v>312.68818761475137</v>
      </c>
      <c r="T33" s="114">
        <f>S33*(1+Окружение!S8)</f>
        <v>316.52557035635101</v>
      </c>
      <c r="U33" s="114">
        <f>T33*(1+Окружение!T8)</f>
        <v>320.41004635854955</v>
      </c>
      <c r="V33" s="114">
        <f>U33*(1+Окружение!U8)</f>
        <v>324.34219356088101</v>
      </c>
      <c r="W33" s="114">
        <f>V33*(1+Окружение!V8)</f>
        <v>328.32259699548899</v>
      </c>
      <c r="X33" s="114">
        <f>W33*(1+Окружение!W8)</f>
        <v>332.35184887416864</v>
      </c>
      <c r="Y33" s="37"/>
    </row>
    <row r="34" spans="1:25" x14ac:dyDescent="0.2">
      <c r="A34" s="25"/>
      <c r="B34" s="13"/>
      <c r="C34" s="9" t="s">
        <v>401</v>
      </c>
      <c r="D34" s="14" t="s">
        <v>116</v>
      </c>
      <c r="E34" s="15">
        <f>IF(E9&gt;0,(E31*E10+E32*E11+E33*E12)/E9,0)</f>
        <v>220.74074074074073</v>
      </c>
      <c r="F34" s="15">
        <f t="shared" ref="F34:X34" si="7">IF(F9&gt;0,(F31*F10+F32*F11+F33*F12)/F9,0)</f>
        <v>234.19625825267107</v>
      </c>
      <c r="G34" s="15">
        <f t="shared" si="7"/>
        <v>237.52651004720838</v>
      </c>
      <c r="H34" s="15">
        <f t="shared" si="7"/>
        <v>243.63195523872773</v>
      </c>
      <c r="I34" s="15">
        <f t="shared" si="7"/>
        <v>245.49546400228161</v>
      </c>
      <c r="J34" s="15">
        <f t="shared" si="7"/>
        <v>251.05729383875411</v>
      </c>
      <c r="K34" s="15">
        <f t="shared" si="7"/>
        <v>268.62330859444705</v>
      </c>
      <c r="L34" s="15">
        <f t="shared" si="7"/>
        <v>276.26413533861972</v>
      </c>
      <c r="M34" s="15">
        <f t="shared" si="7"/>
        <v>281.96692213168745</v>
      </c>
      <c r="N34" s="15">
        <f t="shared" si="7"/>
        <v>289.71489009322471</v>
      </c>
      <c r="O34" s="15">
        <f t="shared" si="7"/>
        <v>293.83497701938938</v>
      </c>
      <c r="P34" s="15">
        <f t="shared" si="7"/>
        <v>297.19711816092115</v>
      </c>
      <c r="Q34" s="15">
        <f t="shared" si="7"/>
        <v>300.47063447165738</v>
      </c>
      <c r="R34" s="15">
        <f t="shared" si="7"/>
        <v>304.56474131282721</v>
      </c>
      <c r="S34" s="15">
        <f t="shared" si="7"/>
        <v>308.67342569969776</v>
      </c>
      <c r="T34" s="15">
        <f t="shared" si="7"/>
        <v>313.11136195700169</v>
      </c>
      <c r="U34" s="15">
        <f t="shared" si="7"/>
        <v>317.24039858812091</v>
      </c>
      <c r="V34" s="15">
        <f t="shared" si="7"/>
        <v>322.24543594594201</v>
      </c>
      <c r="W34" s="15">
        <f t="shared" si="7"/>
        <v>327.19691952007588</v>
      </c>
      <c r="X34" s="15">
        <f t="shared" si="7"/>
        <v>330.21530127426331</v>
      </c>
      <c r="Y34" s="125"/>
    </row>
    <row r="35" spans="1:25" x14ac:dyDescent="0.2">
      <c r="A35" s="25"/>
      <c r="B35" s="9"/>
      <c r="C35" s="9"/>
      <c r="Y35" s="37"/>
    </row>
    <row r="36" spans="1:25" x14ac:dyDescent="0.2">
      <c r="A36" s="25" t="s">
        <v>115</v>
      </c>
      <c r="B36" s="9"/>
      <c r="C36" s="9"/>
    </row>
    <row r="37" spans="1:25" x14ac:dyDescent="0.2">
      <c r="A37" s="9"/>
      <c r="B37" s="284" t="s">
        <v>521</v>
      </c>
      <c r="C37" s="13"/>
      <c r="D37" s="14"/>
    </row>
    <row r="38" spans="1:25" x14ac:dyDescent="0.2">
      <c r="A38" s="9"/>
      <c r="B38" s="13"/>
      <c r="C38" s="285" t="s">
        <v>523</v>
      </c>
      <c r="D38" s="14" t="s">
        <v>116</v>
      </c>
      <c r="E38" s="15">
        <v>1600</v>
      </c>
      <c r="F38" s="15">
        <f>F26*(1+Окружение!E13)</f>
        <v>1456.0897795709552</v>
      </c>
      <c r="G38" s="15">
        <f>G26*(1+Окружение!F13)</f>
        <v>1482.6555567629318</v>
      </c>
      <c r="H38" s="15">
        <f>H26*(1+Окружение!G13)</f>
        <v>1509.7060159626496</v>
      </c>
      <c r="I38" s="15">
        <f>I26*(1+Окружение!H13)</f>
        <v>1538.1429716225432</v>
      </c>
      <c r="J38" s="15">
        <f>J26*(1+Окружение!I13)</f>
        <v>1567.1155682871438</v>
      </c>
      <c r="K38" s="15">
        <f>K26*(1+Окружение!J13)</f>
        <v>1596.6338953376555</v>
      </c>
      <c r="L38" s="15">
        <f>L26*(1+Окружение!K13)</f>
        <v>1626.7082321997557</v>
      </c>
      <c r="M38" s="15">
        <f>M26*(1+Окружение!L13)</f>
        <v>1650.5782985603466</v>
      </c>
      <c r="N38" s="15">
        <f>N26*(1+Окружение!M13)</f>
        <v>1674.7986306027485</v>
      </c>
      <c r="O38" s="15">
        <f>O26*(1+Окружение!N13)</f>
        <v>1699.3743680716946</v>
      </c>
      <c r="P38" s="15">
        <f>P26*(1+Окружение!O13)</f>
        <v>1724.3107261317411</v>
      </c>
      <c r="Q38" s="15">
        <f>Q26*(1+Окружение!P13)</f>
        <v>1745.471871591337</v>
      </c>
      <c r="R38" s="15">
        <f>R26*(1+Окружение!Q13)</f>
        <v>1766.8927115888</v>
      </c>
      <c r="S38" s="15">
        <f>S26*(1+Окружение!R13)</f>
        <v>1788.5764331563789</v>
      </c>
      <c r="T38" s="15">
        <f>T26*(1+Окружение!S13)</f>
        <v>1810.526262438329</v>
      </c>
      <c r="U38" s="15">
        <f>U26*(1+Окружение!T13)</f>
        <v>1832.7454651709047</v>
      </c>
      <c r="V38" s="15">
        <f>V26*(1+Окружение!U13)</f>
        <v>1855.2373471682408</v>
      </c>
      <c r="W38" s="15">
        <f>W26*(1+Окружение!V13)</f>
        <v>1878.0052548141985</v>
      </c>
      <c r="X38" s="15">
        <f>X26*(1+Окружение!W13)</f>
        <v>1901.0525755602462</v>
      </c>
    </row>
    <row r="39" spans="1:25" x14ac:dyDescent="0.2">
      <c r="A39" s="9"/>
      <c r="B39" s="13"/>
      <c r="C39" s="285" t="s">
        <v>524</v>
      </c>
      <c r="D39" s="14" t="s">
        <v>116</v>
      </c>
      <c r="E39" s="15">
        <v>2100</v>
      </c>
      <c r="F39" s="15">
        <f>F27*(1+Окружение!E13)</f>
        <v>1792.1104979334834</v>
      </c>
      <c r="G39" s="15">
        <f>G27*(1+Окружение!F13)</f>
        <v>1824.8068390928393</v>
      </c>
      <c r="H39" s="15">
        <f>H27*(1+Окружение!G13)</f>
        <v>1858.0997119540302</v>
      </c>
      <c r="I39" s="15">
        <f>I27*(1+Окружение!H13)</f>
        <v>1893.099041996976</v>
      </c>
      <c r="J39" s="15">
        <f>J27*(1+Окружение!I13)</f>
        <v>1928.7576225072537</v>
      </c>
      <c r="K39" s="15">
        <f>K27*(1+Окружение!J13)</f>
        <v>1965.0878711848063</v>
      </c>
      <c r="L39" s="15">
        <f>L27*(1+Окружение!K13)</f>
        <v>2002.1024396304679</v>
      </c>
      <c r="M39" s="15">
        <f>M27*(1+Окружение!L13)</f>
        <v>2031.4809828435027</v>
      </c>
      <c r="N39" s="15">
        <f>N27*(1+Окружение!M13)</f>
        <v>2061.2906222803053</v>
      </c>
      <c r="O39" s="15">
        <f>O27*(1+Окружение!N13)</f>
        <v>2091.5376837805466</v>
      </c>
      <c r="P39" s="15">
        <f>P27*(1+Окружение!O13)</f>
        <v>2122.2285860082961</v>
      </c>
      <c r="Q39" s="15">
        <f>Q27*(1+Окружение!P13)</f>
        <v>2148.2730727277985</v>
      </c>
      <c r="R39" s="15">
        <f>R27*(1+Окружение!Q13)</f>
        <v>2174.6371834939068</v>
      </c>
      <c r="S39" s="15">
        <f>S27*(1+Окружение!R13)</f>
        <v>2201.3248408078498</v>
      </c>
      <c r="T39" s="15">
        <f>T27*(1+Окружение!S13)</f>
        <v>2228.3400153087114</v>
      </c>
      <c r="U39" s="15">
        <f>U27*(1+Окружение!T13)</f>
        <v>2255.6867263641893</v>
      </c>
      <c r="V39" s="15">
        <f>V27*(1+Окружение!U13)</f>
        <v>2283.369042668603</v>
      </c>
      <c r="W39" s="15">
        <f>W27*(1+Окружение!V13)</f>
        <v>2311.3910828482431</v>
      </c>
      <c r="X39" s="15">
        <f>X27*(1+Окружение!W13)</f>
        <v>2339.7570160741479</v>
      </c>
    </row>
    <row r="40" spans="1:25" x14ac:dyDescent="0.2">
      <c r="A40" s="9"/>
      <c r="B40" s="13"/>
      <c r="C40" s="285" t="s">
        <v>525</v>
      </c>
      <c r="D40" s="14" t="s">
        <v>116</v>
      </c>
      <c r="E40" s="15">
        <v>2200</v>
      </c>
      <c r="F40" s="15">
        <f>F28*(1+Окружение!E13)</f>
        <v>2464.1519346585396</v>
      </c>
      <c r="G40" s="15">
        <f>G28*(1+Окружение!F13)</f>
        <v>2509.1094037526541</v>
      </c>
      <c r="H40" s="15">
        <f>H28*(1+Окружение!G13)</f>
        <v>2554.8871039367918</v>
      </c>
      <c r="I40" s="15">
        <f>I28*(1+Окружение!H13)</f>
        <v>2603.0111827458422</v>
      </c>
      <c r="J40" s="15">
        <f>J28*(1+Окружение!I13)</f>
        <v>2652.0417309474738</v>
      </c>
      <c r="K40" s="15">
        <f>K28*(1+Окружение!J13)</f>
        <v>2701.9958228791088</v>
      </c>
      <c r="L40" s="15">
        <f>L28*(1+Окружение!K13)</f>
        <v>2752.8908544918936</v>
      </c>
      <c r="M40" s="15">
        <f>M28*(1+Окружение!L13)</f>
        <v>2793.2863514098162</v>
      </c>
      <c r="N40" s="15">
        <f>N28*(1+Окружение!M13)</f>
        <v>2834.2746056354199</v>
      </c>
      <c r="O40" s="15">
        <f>O28*(1+Окружение!N13)</f>
        <v>2875.8643151982515</v>
      </c>
      <c r="P40" s="15">
        <f>P28*(1+Окружение!O13)</f>
        <v>2918.0643057614075</v>
      </c>
      <c r="Q40" s="15">
        <f>Q28*(1+Окружение!P13)</f>
        <v>2953.8754750007233</v>
      </c>
      <c r="R40" s="15">
        <f>R28*(1+Окружение!Q13)</f>
        <v>2990.1261273041223</v>
      </c>
      <c r="S40" s="15">
        <f>S28*(1+Окружение!R13)</f>
        <v>3026.8216561107938</v>
      </c>
      <c r="T40" s="15">
        <f>T28*(1+Окружение!S13)</f>
        <v>3063.9675210494788</v>
      </c>
      <c r="U40" s="15">
        <f>U28*(1+Окружение!T13)</f>
        <v>3101.5692487507604</v>
      </c>
      <c r="V40" s="15">
        <f>V28*(1+Окружение!U13)</f>
        <v>3139.6324336693292</v>
      </c>
      <c r="W40" s="15">
        <f>W28*(1+Окружение!V13)</f>
        <v>3178.1627389163345</v>
      </c>
      <c r="X40" s="15">
        <f>X28*(1+Окружение!W13)</f>
        <v>3217.1658971019538</v>
      </c>
    </row>
    <row r="41" spans="1:25" x14ac:dyDescent="0.2">
      <c r="A41" s="9"/>
      <c r="B41" s="284" t="s">
        <v>522</v>
      </c>
      <c r="C41" s="13"/>
      <c r="D41" s="14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</row>
    <row r="42" spans="1:25" x14ac:dyDescent="0.2">
      <c r="A42" s="9"/>
      <c r="B42" s="13"/>
      <c r="C42" s="285" t="s">
        <v>523</v>
      </c>
      <c r="D42" s="14" t="s">
        <v>116</v>
      </c>
      <c r="E42" s="114">
        <f>E31*(1+Окружение!D13)</f>
        <v>220.00000000000003</v>
      </c>
      <c r="F42" s="114">
        <f>F31*(1+Окружение!E13)</f>
        <v>224.01381224168543</v>
      </c>
      <c r="G42" s="114">
        <f>G31*(1+Окружение!F13)</f>
        <v>228.10085488660491</v>
      </c>
      <c r="H42" s="114">
        <f>H31*(1+Окружение!G13)</f>
        <v>232.26246399425378</v>
      </c>
      <c r="I42" s="114">
        <f>I31*(1+Окружение!H13)</f>
        <v>236.637380249622</v>
      </c>
      <c r="J42" s="114">
        <f>J31*(1+Окружение!I13)</f>
        <v>241.09470281340671</v>
      </c>
      <c r="K42" s="114">
        <f>K31*(1+Окружение!J13)</f>
        <v>245.63598389810079</v>
      </c>
      <c r="L42" s="114">
        <f>L31*(1+Окружение!K13)</f>
        <v>250.26280495380848</v>
      </c>
      <c r="M42" s="114">
        <f>M31*(1+Окружение!L13)</f>
        <v>253.93512285543784</v>
      </c>
      <c r="N42" s="114">
        <f>N31*(1+Окружение!M13)</f>
        <v>257.66132778503817</v>
      </c>
      <c r="O42" s="114">
        <f>O31*(1+Окружение!N13)</f>
        <v>261.44221047256832</v>
      </c>
      <c r="P42" s="114">
        <f>P31*(1+Окружение!O13)</f>
        <v>265.27857325103702</v>
      </c>
      <c r="Q42" s="114">
        <f>Q31*(1+Окружение!P13)</f>
        <v>268.53413409097482</v>
      </c>
      <c r="R42" s="114">
        <f>R31*(1+Окружение!Q13)</f>
        <v>271.82964793673835</v>
      </c>
      <c r="S42" s="114">
        <f>S31*(1+Окружение!R13)</f>
        <v>275.16560510098122</v>
      </c>
      <c r="T42" s="114">
        <f>T31*(1+Окружение!S13)</f>
        <v>278.54250191358892</v>
      </c>
      <c r="U42" s="114">
        <f>U31*(1+Окружение!T13)</f>
        <v>281.96084079552367</v>
      </c>
      <c r="V42" s="114">
        <f>V31*(1+Окружение!U13)</f>
        <v>285.42113033357538</v>
      </c>
      <c r="W42" s="114">
        <f>W31*(1+Окружение!V13)</f>
        <v>288.92388535603038</v>
      </c>
      <c r="X42" s="114">
        <f>X31*(1+Окружение!W13)</f>
        <v>292.46962700926849</v>
      </c>
    </row>
    <row r="43" spans="1:25" x14ac:dyDescent="0.2">
      <c r="A43" s="9"/>
      <c r="B43" s="13"/>
      <c r="C43" s="285" t="s">
        <v>524</v>
      </c>
      <c r="D43" s="14" t="s">
        <v>116</v>
      </c>
      <c r="E43" s="114">
        <f>E32*(1+Окружение!D13)</f>
        <v>308</v>
      </c>
      <c r="F43" s="114">
        <f>F32*(1+Окружение!E13)</f>
        <v>313.61933713835958</v>
      </c>
      <c r="G43" s="114">
        <f>G32*(1+Окружение!F13)</f>
        <v>319.34119684124687</v>
      </c>
      <c r="H43" s="114">
        <f>H32*(1+Окружение!G13)</f>
        <v>325.16744959195535</v>
      </c>
      <c r="I43" s="114">
        <f>I32*(1+Окружение!H13)</f>
        <v>331.29233234947083</v>
      </c>
      <c r="J43" s="114">
        <f>J32*(1+Окружение!I13)</f>
        <v>337.53258393876945</v>
      </c>
      <c r="K43" s="114">
        <f>K32*(1+Окружение!J13)</f>
        <v>343.89037745734112</v>
      </c>
      <c r="L43" s="114">
        <f>L32*(1+Окружение!K13)</f>
        <v>350.36792693533187</v>
      </c>
      <c r="M43" s="114">
        <f>M32*(1+Окружение!L13)</f>
        <v>355.50917199761301</v>
      </c>
      <c r="N43" s="114">
        <f>N32*(1+Окружение!M13)</f>
        <v>360.72585889905338</v>
      </c>
      <c r="O43" s="114">
        <f>O32*(1+Окружение!N13)</f>
        <v>366.0190946615956</v>
      </c>
      <c r="P43" s="114">
        <f>P32*(1+Окружение!O13)</f>
        <v>371.3900025514518</v>
      </c>
      <c r="Q43" s="114">
        <f>Q32*(1+Окружение!P13)</f>
        <v>375.94778772736476</v>
      </c>
      <c r="R43" s="114">
        <f>R32*(1+Окружение!Q13)</f>
        <v>380.56150711143368</v>
      </c>
      <c r="S43" s="114">
        <f>S32*(1+Окружение!R13)</f>
        <v>385.23184714137369</v>
      </c>
      <c r="T43" s="114">
        <f>T32*(1+Окружение!S13)</f>
        <v>389.95950267902452</v>
      </c>
      <c r="U43" s="114">
        <f>U32*(1+Окружение!T13)</f>
        <v>394.74517711373306</v>
      </c>
      <c r="V43" s="114">
        <f>V32*(1+Окружение!U13)</f>
        <v>399.58958246700547</v>
      </c>
      <c r="W43" s="114">
        <f>W32*(1+Окружение!V13)</f>
        <v>404.49343949844251</v>
      </c>
      <c r="X43" s="114">
        <f>X32*(1+Окружение!W13)</f>
        <v>409.45747781297587</v>
      </c>
    </row>
    <row r="44" spans="1:25" x14ac:dyDescent="0.2">
      <c r="A44" s="9"/>
      <c r="B44" s="13"/>
      <c r="C44" s="285" t="s">
        <v>526</v>
      </c>
      <c r="D44" s="14" t="s">
        <v>116</v>
      </c>
      <c r="E44" s="114">
        <v>300</v>
      </c>
      <c r="F44" s="114">
        <f>F33*(1+Окружение!E13)</f>
        <v>280.01726530210675</v>
      </c>
      <c r="G44" s="114">
        <f>G33*(1+Окружение!F13)</f>
        <v>285.12606860825616</v>
      </c>
      <c r="H44" s="114">
        <f>H33*(1+Окружение!G13)</f>
        <v>290.32807999281727</v>
      </c>
      <c r="I44" s="114">
        <f>I33*(1+Окружение!H13)</f>
        <v>295.79672531202755</v>
      </c>
      <c r="J44" s="114">
        <f>J33*(1+Окружение!I13)</f>
        <v>301.36837851675841</v>
      </c>
      <c r="K44" s="114">
        <f>K33*(1+Окружение!J13)</f>
        <v>307.04497987262602</v>
      </c>
      <c r="L44" s="114">
        <f>L33*(1+Окружение!K13)</f>
        <v>312.82850619226065</v>
      </c>
      <c r="M44" s="114">
        <f>M33*(1+Окружение!L13)</f>
        <v>317.41890356929736</v>
      </c>
      <c r="N44" s="114">
        <f>N33*(1+Окружение!M13)</f>
        <v>322.0766597312977</v>
      </c>
      <c r="O44" s="114">
        <f>O33*(1+Окружение!N13)</f>
        <v>326.80276309071036</v>
      </c>
      <c r="P44" s="114">
        <f>P33*(1+Окружение!O13)</f>
        <v>331.59821656379626</v>
      </c>
      <c r="Q44" s="114">
        <f>Q33*(1+Окружение!P13)</f>
        <v>335.66766761371849</v>
      </c>
      <c r="R44" s="114">
        <f>R33*(1+Окружение!Q13)</f>
        <v>339.78705992092296</v>
      </c>
      <c r="S44" s="114">
        <f>S33*(1+Окружение!R13)</f>
        <v>343.95700637622656</v>
      </c>
      <c r="T44" s="114">
        <f>T33*(1+Окружение!S13)</f>
        <v>348.17812739198615</v>
      </c>
      <c r="U44" s="114">
        <f>U33*(1+Окружение!T13)</f>
        <v>352.45105099440451</v>
      </c>
      <c r="V44" s="114">
        <f>V33*(1+Окружение!U13)</f>
        <v>356.77641291696915</v>
      </c>
      <c r="W44" s="114">
        <f>W33*(1+Окружение!V13)</f>
        <v>361.15485669503795</v>
      </c>
      <c r="X44" s="114">
        <f>X33*(1+Окружение!W13)</f>
        <v>365.58703376158553</v>
      </c>
    </row>
    <row r="45" spans="1:25" x14ac:dyDescent="0.2">
      <c r="A45" s="9"/>
      <c r="B45" s="9"/>
      <c r="C45" s="9"/>
    </row>
    <row r="46" spans="1:25" x14ac:dyDescent="0.2">
      <c r="A46" s="25" t="s">
        <v>285</v>
      </c>
      <c r="B46" s="9"/>
      <c r="C46" s="9"/>
    </row>
    <row r="47" spans="1:25" s="8" customFormat="1" x14ac:dyDescent="0.2">
      <c r="A47" s="10"/>
      <c r="B47" s="284" t="s">
        <v>521</v>
      </c>
      <c r="C47" s="13"/>
      <c r="D47" s="14" t="s">
        <v>117</v>
      </c>
      <c r="E47" s="17">
        <f>SUM(E48:E50)</f>
        <v>2900</v>
      </c>
      <c r="F47" s="17">
        <f t="shared" ref="F47:X47" si="8">F5*F26/1000</f>
        <v>9266.0258699969872</v>
      </c>
      <c r="G47" s="17">
        <f t="shared" si="8"/>
        <v>17522.292943561923</v>
      </c>
      <c r="H47" s="17">
        <f t="shared" si="8"/>
        <v>27449.20029022999</v>
      </c>
      <c r="I47" s="17">
        <f t="shared" si="8"/>
        <v>31462.015328642927</v>
      </c>
      <c r="J47" s="17">
        <f t="shared" si="8"/>
        <v>36328.588173929245</v>
      </c>
      <c r="K47" s="17">
        <f t="shared" si="8"/>
        <v>44270.303461634983</v>
      </c>
      <c r="L47" s="17">
        <f t="shared" si="8"/>
        <v>51019.48546444688</v>
      </c>
      <c r="M47" s="17">
        <f t="shared" si="8"/>
        <v>63772.343353467935</v>
      </c>
      <c r="N47" s="17">
        <f t="shared" si="8"/>
        <v>76127.210481943112</v>
      </c>
      <c r="O47" s="17">
        <f t="shared" si="8"/>
        <v>86513.604192740808</v>
      </c>
      <c r="P47" s="17">
        <f t="shared" si="8"/>
        <v>97972.200348394384</v>
      </c>
      <c r="Q47" s="17">
        <f t="shared" si="8"/>
        <v>111868.87904289932</v>
      </c>
      <c r="R47" s="17">
        <f t="shared" si="8"/>
        <v>127698.1550648269</v>
      </c>
      <c r="S47" s="17">
        <f t="shared" si="8"/>
        <v>152841.98610609054</v>
      </c>
      <c r="T47" s="17">
        <f t="shared" si="8"/>
        <v>164593.29658530263</v>
      </c>
      <c r="U47" s="17">
        <f t="shared" si="8"/>
        <v>117462.32299504433</v>
      </c>
      <c r="V47" s="17">
        <f t="shared" si="8"/>
        <v>134083.06281806828</v>
      </c>
      <c r="W47" s="17">
        <f t="shared" si="8"/>
        <v>160484.08541139512</v>
      </c>
      <c r="X47" s="17">
        <f t="shared" si="8"/>
        <v>172822.96141456784</v>
      </c>
    </row>
    <row r="48" spans="1:25" x14ac:dyDescent="0.2">
      <c r="A48" s="9"/>
      <c r="B48" s="13"/>
      <c r="C48" s="285" t="s">
        <v>523</v>
      </c>
      <c r="D48" s="14" t="s">
        <v>117</v>
      </c>
      <c r="E48" s="15">
        <f t="shared" ref="E48:X48" si="9">E6*E26/1000</f>
        <v>1300</v>
      </c>
      <c r="F48" s="15">
        <f t="shared" si="9"/>
        <v>6618.5899071407048</v>
      </c>
      <c r="G48" s="15">
        <f t="shared" si="9"/>
        <v>12130.818191696715</v>
      </c>
      <c r="H48" s="15">
        <f t="shared" si="9"/>
        <v>18528.210195905245</v>
      </c>
      <c r="I48" s="15">
        <f>I6*I26/1000</f>
        <v>20974.67688576195</v>
      </c>
      <c r="J48" s="15">
        <f t="shared" si="9"/>
        <v>24219.058782619493</v>
      </c>
      <c r="K48" s="15">
        <f t="shared" si="9"/>
        <v>30481.19254735524</v>
      </c>
      <c r="L48" s="15">
        <f t="shared" si="9"/>
        <v>35491.815975267396</v>
      </c>
      <c r="M48" s="15">
        <f t="shared" si="9"/>
        <v>42764.98318997262</v>
      </c>
      <c r="N48" s="15">
        <f t="shared" si="9"/>
        <v>51005.231022901884</v>
      </c>
      <c r="O48" s="15">
        <f t="shared" si="9"/>
        <v>57160.774198775172</v>
      </c>
      <c r="P48" s="15">
        <f t="shared" si="9"/>
        <v>63485.985825759562</v>
      </c>
      <c r="Q48" s="15">
        <f t="shared" si="9"/>
        <v>71405.667474191054</v>
      </c>
      <c r="R48" s="15">
        <f t="shared" si="9"/>
        <v>78707.038970773821</v>
      </c>
      <c r="S48" s="15">
        <f t="shared" si="9"/>
        <v>92680.77880901235</v>
      </c>
      <c r="T48" s="15">
        <f t="shared" si="9"/>
        <v>98755.977951181572</v>
      </c>
      <c r="U48" s="15">
        <f t="shared" si="9"/>
        <v>74975.950847900647</v>
      </c>
      <c r="V48" s="15">
        <f t="shared" si="9"/>
        <v>82642.390919312544</v>
      </c>
      <c r="W48" s="15">
        <f t="shared" si="9"/>
        <v>97314.817749463007</v>
      </c>
      <c r="X48" s="15">
        <f t="shared" si="9"/>
        <v>103693.7768487407</v>
      </c>
    </row>
    <row r="49" spans="1:24" x14ac:dyDescent="0.2">
      <c r="A49" s="9"/>
      <c r="B49" s="13"/>
      <c r="C49" s="285" t="s">
        <v>524</v>
      </c>
      <c r="D49" s="14" t="s">
        <v>117</v>
      </c>
      <c r="E49" s="15">
        <f t="shared" ref="E49:X49" si="10">E7*E27/1000</f>
        <v>1600</v>
      </c>
      <c r="F49" s="15">
        <f t="shared" si="10"/>
        <v>3258.382723515424</v>
      </c>
      <c r="G49" s="15">
        <f t="shared" si="10"/>
        <v>6635.6612330648695</v>
      </c>
      <c r="H49" s="15">
        <f t="shared" si="10"/>
        <v>10979.680116091997</v>
      </c>
      <c r="I49" s="15">
        <f t="shared" si="10"/>
        <v>12046.99390361712</v>
      </c>
      <c r="J49" s="15">
        <f t="shared" si="10"/>
        <v>14027.328163689117</v>
      </c>
      <c r="K49" s="15">
        <f t="shared" si="10"/>
        <v>15184.769913700775</v>
      </c>
      <c r="L49" s="15">
        <f t="shared" si="10"/>
        <v>16380.838142431099</v>
      </c>
      <c r="M49" s="15">
        <f t="shared" si="10"/>
        <v>20314.809828435027</v>
      </c>
      <c r="N49" s="15">
        <f t="shared" si="10"/>
        <v>24360.707354221788</v>
      </c>
      <c r="O49" s="15">
        <f t="shared" si="10"/>
        <v>28520.968415189269</v>
      </c>
      <c r="P49" s="15">
        <f t="shared" si="10"/>
        <v>32798.078147400935</v>
      </c>
      <c r="Q49" s="15">
        <f t="shared" si="10"/>
        <v>39059.510413232696</v>
      </c>
      <c r="R49" s="15">
        <f t="shared" si="10"/>
        <v>47446.629458048876</v>
      </c>
      <c r="S49" s="15">
        <f t="shared" si="10"/>
        <v>56033.72322056345</v>
      </c>
      <c r="T49" s="15">
        <f t="shared" si="10"/>
        <v>60772.909508419405</v>
      </c>
      <c r="U49" s="15">
        <f t="shared" si="10"/>
        <v>41012.48593389435</v>
      </c>
      <c r="V49" s="15">
        <f t="shared" si="10"/>
        <v>49818.960930951333</v>
      </c>
      <c r="W49" s="15">
        <f t="shared" si="10"/>
        <v>58835.409381591642</v>
      </c>
      <c r="X49" s="15">
        <f t="shared" si="10"/>
        <v>63811.554983840389</v>
      </c>
    </row>
    <row r="50" spans="1:24" x14ac:dyDescent="0.2">
      <c r="A50" s="9"/>
      <c r="B50" s="13"/>
      <c r="C50" s="285" t="s">
        <v>525</v>
      </c>
      <c r="D50" s="14" t="s">
        <v>117</v>
      </c>
      <c r="E50" s="15">
        <f t="shared" ref="E50:X50" si="11">E8*E28/1000</f>
        <v>0</v>
      </c>
      <c r="F50" s="15">
        <f t="shared" si="11"/>
        <v>0</v>
      </c>
      <c r="G50" s="15">
        <f t="shared" si="11"/>
        <v>0</v>
      </c>
      <c r="H50" s="15">
        <f t="shared" si="11"/>
        <v>0</v>
      </c>
      <c r="I50" s="15">
        <f t="shared" si="11"/>
        <v>1183.18690124811</v>
      </c>
      <c r="J50" s="15">
        <f t="shared" si="11"/>
        <v>1205.4735140670332</v>
      </c>
      <c r="K50" s="15">
        <f t="shared" si="11"/>
        <v>2456.3598389810077</v>
      </c>
      <c r="L50" s="15">
        <f t="shared" si="11"/>
        <v>3753.9420743071269</v>
      </c>
      <c r="M50" s="15">
        <f t="shared" si="11"/>
        <v>7618.0536856631352</v>
      </c>
      <c r="N50" s="15">
        <f t="shared" si="11"/>
        <v>9018.1464724763355</v>
      </c>
      <c r="O50" s="15">
        <f t="shared" si="11"/>
        <v>10457.688418902731</v>
      </c>
      <c r="P50" s="15">
        <f t="shared" si="11"/>
        <v>13263.928662551851</v>
      </c>
      <c r="Q50" s="15">
        <f t="shared" si="11"/>
        <v>14769.377375003616</v>
      </c>
      <c r="R50" s="15">
        <f t="shared" si="11"/>
        <v>17668.927115887993</v>
      </c>
      <c r="S50" s="15">
        <f t="shared" si="11"/>
        <v>24764.90445908831</v>
      </c>
      <c r="T50" s="15">
        <f t="shared" si="11"/>
        <v>27854.250191358897</v>
      </c>
      <c r="U50" s="15">
        <f t="shared" si="11"/>
        <v>15507.8462437538</v>
      </c>
      <c r="V50" s="15">
        <f t="shared" si="11"/>
        <v>18552.3734716824</v>
      </c>
      <c r="W50" s="15">
        <f t="shared" si="11"/>
        <v>26003.149682042738</v>
      </c>
      <c r="X50" s="15">
        <f t="shared" si="11"/>
        <v>29246.962700926852</v>
      </c>
    </row>
    <row r="51" spans="1:24" s="8" customFormat="1" x14ac:dyDescent="0.2">
      <c r="A51" s="10"/>
      <c r="B51" s="284" t="s">
        <v>522</v>
      </c>
      <c r="C51" s="13"/>
      <c r="D51" s="14" t="s">
        <v>117</v>
      </c>
      <c r="E51" s="17">
        <f>SUM(E52:E54)</f>
        <v>5960</v>
      </c>
      <c r="F51" s="17">
        <f t="shared" ref="F51:X51" si="12">F9*F31/1000</f>
        <v>8145.95680878856</v>
      </c>
      <c r="G51" s="17">
        <f t="shared" si="12"/>
        <v>11405.042744330243</v>
      </c>
      <c r="H51" s="17">
        <f t="shared" si="12"/>
        <v>13724.600145114995</v>
      </c>
      <c r="I51" s="17">
        <f t="shared" si="12"/>
        <v>18285.6157465617</v>
      </c>
      <c r="J51" s="17">
        <f t="shared" si="12"/>
        <v>24109.470281340669</v>
      </c>
      <c r="K51" s="17">
        <f t="shared" si="12"/>
        <v>37961.924784251933</v>
      </c>
      <c r="L51" s="17">
        <f t="shared" si="12"/>
        <v>47777.444582090706</v>
      </c>
      <c r="M51" s="17">
        <f t="shared" si="12"/>
        <v>56558.27736325661</v>
      </c>
      <c r="N51" s="17">
        <f t="shared" si="12"/>
        <v>66757.707653396239</v>
      </c>
      <c r="O51" s="17">
        <f t="shared" si="12"/>
        <v>73679.168405905599</v>
      </c>
      <c r="P51" s="17">
        <f t="shared" si="12"/>
        <v>81995.195368502347</v>
      </c>
      <c r="Q51" s="17">
        <f t="shared" si="12"/>
        <v>89104.508130187096</v>
      </c>
      <c r="R51" s="17">
        <f t="shared" si="12"/>
        <v>95140.376777858415</v>
      </c>
      <c r="S51" s="17">
        <f t="shared" si="12"/>
        <v>101310.97278717946</v>
      </c>
      <c r="T51" s="17">
        <f t="shared" si="12"/>
        <v>112683.10304686098</v>
      </c>
      <c r="U51" s="17">
        <f t="shared" si="12"/>
        <v>119192.53724538046</v>
      </c>
      <c r="V51" s="17">
        <f t="shared" si="12"/>
        <v>128439.50865010891</v>
      </c>
      <c r="W51" s="17">
        <f t="shared" si="12"/>
        <v>137895.49073810541</v>
      </c>
      <c r="X51" s="17">
        <f t="shared" si="12"/>
        <v>148893.6282956276</v>
      </c>
    </row>
    <row r="52" spans="1:24" x14ac:dyDescent="0.2">
      <c r="A52" s="9"/>
      <c r="B52" s="13"/>
      <c r="C52" s="285" t="s">
        <v>523</v>
      </c>
      <c r="D52" s="14" t="s">
        <v>117</v>
      </c>
      <c r="E52" s="15">
        <f>E10*E31/1000</f>
        <v>4000</v>
      </c>
      <c r="F52" s="15">
        <f t="shared" ref="F52:X52" si="13">F10*F31/1000</f>
        <v>5091.2230054928505</v>
      </c>
      <c r="G52" s="15">
        <f t="shared" si="13"/>
        <v>7257.7544736647014</v>
      </c>
      <c r="H52" s="15">
        <f t="shared" si="13"/>
        <v>8445.9077816092286</v>
      </c>
      <c r="I52" s="15">
        <f t="shared" si="13"/>
        <v>11831.869012481098</v>
      </c>
      <c r="J52" s="15">
        <f t="shared" si="13"/>
        <v>15342.390179034972</v>
      </c>
      <c r="K52" s="15">
        <f t="shared" si="13"/>
        <v>17864.435192589146</v>
      </c>
      <c r="L52" s="15">
        <f t="shared" si="13"/>
        <v>20476.047678038874</v>
      </c>
      <c r="M52" s="15">
        <f t="shared" si="13"/>
        <v>23085.011168676167</v>
      </c>
      <c r="N52" s="15">
        <f t="shared" si="13"/>
        <v>24594.944924935458</v>
      </c>
      <c r="O52" s="15">
        <f t="shared" si="13"/>
        <v>26144.221047256829</v>
      </c>
      <c r="P52" s="15">
        <f t="shared" si="13"/>
        <v>28939.480718294948</v>
      </c>
      <c r="Q52" s="15">
        <f t="shared" si="13"/>
        <v>31735.852210751571</v>
      </c>
      <c r="R52" s="15">
        <f t="shared" si="13"/>
        <v>33360.911337690617</v>
      </c>
      <c r="S52" s="15">
        <f t="shared" si="13"/>
        <v>35021.077012852154</v>
      </c>
      <c r="T52" s="15">
        <f t="shared" si="13"/>
        <v>37983.068442762131</v>
      </c>
      <c r="U52" s="15">
        <f t="shared" si="13"/>
        <v>39730.845748460153</v>
      </c>
      <c r="V52" s="15">
        <f t="shared" si="13"/>
        <v>41515.800775792777</v>
      </c>
      <c r="W52" s="15">
        <f t="shared" si="13"/>
        <v>43338.582803404555</v>
      </c>
      <c r="X52" s="15">
        <f t="shared" si="13"/>
        <v>47858.666237880294</v>
      </c>
    </row>
    <row r="53" spans="1:24" x14ac:dyDescent="0.2">
      <c r="A53" s="9"/>
      <c r="B53" s="13"/>
      <c r="C53" s="285" t="s">
        <v>524</v>
      </c>
      <c r="D53" s="14" t="s">
        <v>117</v>
      </c>
      <c r="E53" s="15">
        <f>E11*E32/1000</f>
        <v>1960</v>
      </c>
      <c r="F53" s="15">
        <f t="shared" ref="F53:X53" si="14">F11*F32/1000</f>
        <v>4276.6273246139936</v>
      </c>
      <c r="G53" s="15">
        <f t="shared" si="14"/>
        <v>5806.2035789317606</v>
      </c>
      <c r="H53" s="15">
        <f t="shared" si="14"/>
        <v>7390.1693089080754</v>
      </c>
      <c r="I53" s="15">
        <f t="shared" si="14"/>
        <v>9035.24542771284</v>
      </c>
      <c r="J53" s="15">
        <f t="shared" si="14"/>
        <v>12273.912143227977</v>
      </c>
      <c r="K53" s="15">
        <f t="shared" si="14"/>
        <v>25010.209269624807</v>
      </c>
      <c r="L53" s="15">
        <f t="shared" si="14"/>
        <v>31851.629721393805</v>
      </c>
      <c r="M53" s="15">
        <f t="shared" si="14"/>
        <v>38782.818763375959</v>
      </c>
      <c r="N53" s="15">
        <f t="shared" si="14"/>
        <v>49189.88984987091</v>
      </c>
      <c r="O53" s="15">
        <f t="shared" si="14"/>
        <v>51575.417884133924</v>
      </c>
      <c r="P53" s="15">
        <f t="shared" si="14"/>
        <v>54020.364007483891</v>
      </c>
      <c r="Q53" s="15">
        <f t="shared" si="14"/>
        <v>58101.021739683645</v>
      </c>
      <c r="R53" s="15">
        <f t="shared" si="14"/>
        <v>62273.701163689148</v>
      </c>
      <c r="S53" s="15">
        <f t="shared" si="14"/>
        <v>66540.046324419091</v>
      </c>
      <c r="T53" s="15">
        <f t="shared" si="14"/>
        <v>74446.81414781377</v>
      </c>
      <c r="U53" s="15">
        <f t="shared" si="14"/>
        <v>78949.035422746616</v>
      </c>
      <c r="V53" s="15">
        <f t="shared" si="14"/>
        <v>87183.181629164828</v>
      </c>
      <c r="W53" s="15">
        <f t="shared" si="14"/>
        <v>95607.540245086406</v>
      </c>
      <c r="X53" s="15">
        <f t="shared" si="14"/>
        <v>100503.19909954863</v>
      </c>
    </row>
    <row r="54" spans="1:24" x14ac:dyDescent="0.2">
      <c r="A54" s="9"/>
      <c r="B54" s="13"/>
      <c r="C54" s="285" t="s">
        <v>526</v>
      </c>
      <c r="D54" s="14" t="s">
        <v>117</v>
      </c>
      <c r="E54" s="15">
        <f>E12*E33/1000</f>
        <v>0</v>
      </c>
      <c r="F54" s="15">
        <f t="shared" ref="F54:W54" si="15">F12*F33/1000</f>
        <v>0</v>
      </c>
      <c r="G54" s="15">
        <f t="shared" si="15"/>
        <v>0</v>
      </c>
      <c r="H54" s="15">
        <f t="shared" si="15"/>
        <v>0</v>
      </c>
      <c r="I54" s="15">
        <f t="shared" si="15"/>
        <v>0</v>
      </c>
      <c r="J54" s="15">
        <f t="shared" si="15"/>
        <v>0</v>
      </c>
      <c r="K54" s="15">
        <f t="shared" si="15"/>
        <v>2791.3179988420543</v>
      </c>
      <c r="L54" s="15">
        <f t="shared" si="15"/>
        <v>5687.7910216774662</v>
      </c>
      <c r="M54" s="15">
        <f t="shared" si="15"/>
        <v>7214.065990211303</v>
      </c>
      <c r="N54" s="15">
        <f t="shared" si="15"/>
        <v>8783.9089017626648</v>
      </c>
      <c r="O54" s="15">
        <f t="shared" si="15"/>
        <v>13369.203944619969</v>
      </c>
      <c r="P54" s="15">
        <f t="shared" si="15"/>
        <v>18087.17544893434</v>
      </c>
      <c r="Q54" s="15">
        <f t="shared" si="15"/>
        <v>19834.907631719729</v>
      </c>
      <c r="R54" s="15">
        <f t="shared" si="15"/>
        <v>21622.812904058734</v>
      </c>
      <c r="S54" s="15">
        <f t="shared" si="15"/>
        <v>23451.614071106353</v>
      </c>
      <c r="T54" s="15">
        <f t="shared" si="15"/>
        <v>26904.673480289835</v>
      </c>
      <c r="U54" s="15">
        <f t="shared" si="15"/>
        <v>28836.90417226946</v>
      </c>
      <c r="V54" s="15">
        <f t="shared" si="15"/>
        <v>30812.508388283695</v>
      </c>
      <c r="W54" s="15">
        <f t="shared" si="15"/>
        <v>32832.2596995489</v>
      </c>
      <c r="X54" s="15">
        <f>X12*X33/1000</f>
        <v>36558.703376158548</v>
      </c>
    </row>
    <row r="55" spans="1:24" x14ac:dyDescent="0.2">
      <c r="A55" s="9"/>
      <c r="B55" s="10" t="s">
        <v>113</v>
      </c>
      <c r="C55" s="10"/>
      <c r="D55" s="14" t="s">
        <v>117</v>
      </c>
      <c r="E55" s="17">
        <f>SUM(E47,E51)</f>
        <v>8860</v>
      </c>
      <c r="F55" s="17">
        <f t="shared" ref="F55:X55" si="16">SUM(F47,F51)</f>
        <v>17411.982678785549</v>
      </c>
      <c r="G55" s="17">
        <f t="shared" si="16"/>
        <v>28927.335687892166</v>
      </c>
      <c r="H55" s="17">
        <f t="shared" si="16"/>
        <v>41173.800435344987</v>
      </c>
      <c r="I55" s="17">
        <f t="shared" si="16"/>
        <v>49747.631075204627</v>
      </c>
      <c r="J55" s="17">
        <f t="shared" si="16"/>
        <v>60438.058455269915</v>
      </c>
      <c r="K55" s="17">
        <f t="shared" si="16"/>
        <v>82232.228245886916</v>
      </c>
      <c r="L55" s="17">
        <f t="shared" si="16"/>
        <v>98796.930046537585</v>
      </c>
      <c r="M55" s="17">
        <f t="shared" si="16"/>
        <v>120330.62071672454</v>
      </c>
      <c r="N55" s="17">
        <f t="shared" si="16"/>
        <v>142884.91813533934</v>
      </c>
      <c r="O55" s="17">
        <f t="shared" si="16"/>
        <v>160192.77259864641</v>
      </c>
      <c r="P55" s="17">
        <f t="shared" si="16"/>
        <v>179967.39571689675</v>
      </c>
      <c r="Q55" s="17">
        <f t="shared" si="16"/>
        <v>200973.3871730864</v>
      </c>
      <c r="R55" s="17">
        <f t="shared" si="16"/>
        <v>222838.5318426853</v>
      </c>
      <c r="S55" s="17">
        <f t="shared" si="16"/>
        <v>254152.95889327</v>
      </c>
      <c r="T55" s="17">
        <f t="shared" si="16"/>
        <v>277276.39963216358</v>
      </c>
      <c r="U55" s="17">
        <f t="shared" si="16"/>
        <v>236654.86024042481</v>
      </c>
      <c r="V55" s="17">
        <f t="shared" si="16"/>
        <v>262522.57146817719</v>
      </c>
      <c r="W55" s="17">
        <f t="shared" si="16"/>
        <v>298379.57614950056</v>
      </c>
      <c r="X55" s="17">
        <f t="shared" si="16"/>
        <v>321716.58971019543</v>
      </c>
    </row>
    <row r="56" spans="1:24" x14ac:dyDescent="0.2">
      <c r="A56" s="25"/>
      <c r="B56" s="9"/>
      <c r="C56" s="9"/>
    </row>
    <row r="57" spans="1:24" x14ac:dyDescent="0.2">
      <c r="A57" s="25" t="s">
        <v>138</v>
      </c>
      <c r="B57" s="9"/>
      <c r="C57" s="9"/>
    </row>
    <row r="58" spans="1:24" x14ac:dyDescent="0.2">
      <c r="A58" s="9"/>
      <c r="B58" s="284" t="s">
        <v>521</v>
      </c>
      <c r="C58" s="13"/>
      <c r="D58" s="14" t="s">
        <v>117</v>
      </c>
      <c r="E58" s="15">
        <f>E47*(1+Окружение!D13)</f>
        <v>3190.0000000000005</v>
      </c>
      <c r="F58" s="15">
        <f>F47*(1+Окружение!E13)</f>
        <v>10192.628456996687</v>
      </c>
      <c r="G58" s="15">
        <f>G47*(1+Окружение!F13)</f>
        <v>19274.522237918118</v>
      </c>
      <c r="H58" s="15">
        <f>H47*(1+Окружение!G13)</f>
        <v>30194.12031925299</v>
      </c>
      <c r="I58" s="15">
        <f>I47*(1+Окружение!H13)</f>
        <v>34608.216861507222</v>
      </c>
      <c r="J58" s="15">
        <f>J47*(1+Окружение!I13)</f>
        <v>39961.446991322176</v>
      </c>
      <c r="K58" s="15">
        <f>K47*(1+Окружение!J13)</f>
        <v>48697.333807798488</v>
      </c>
      <c r="L58" s="15">
        <f>L47*(1+Окружение!K13)</f>
        <v>56121.434010891571</v>
      </c>
      <c r="M58" s="15">
        <f>M47*(1+Окружение!L13)</f>
        <v>70149.577688814737</v>
      </c>
      <c r="N58" s="15">
        <f>N47*(1+Окружение!M13)</f>
        <v>83739.93153013743</v>
      </c>
      <c r="O58" s="15">
        <f>O47*(1+Окружение!N13)</f>
        <v>95164.964612014897</v>
      </c>
      <c r="P58" s="15">
        <f>P47*(1+Окружение!O13)</f>
        <v>107769.42038323382</v>
      </c>
      <c r="Q58" s="15">
        <f>Q47*(1+Окружение!P13)</f>
        <v>123055.76694718926</v>
      </c>
      <c r="R58" s="15">
        <f>R47*(1+Окружение!Q13)</f>
        <v>140467.97057130962</v>
      </c>
      <c r="S58" s="15">
        <f>S47*(1+Окружение!R13)</f>
        <v>168126.18471669962</v>
      </c>
      <c r="T58" s="15">
        <f>T47*(1+Окружение!S13)</f>
        <v>181052.6262438329</v>
      </c>
      <c r="U58" s="15">
        <f>U47*(1+Окружение!T13)</f>
        <v>129208.55529454877</v>
      </c>
      <c r="V58" s="15">
        <f>V47*(1+Окружение!U13)</f>
        <v>147491.36909987513</v>
      </c>
      <c r="W58" s="15">
        <f>W47*(1+Окружение!V13)</f>
        <v>176532.49395253466</v>
      </c>
      <c r="X58" s="15">
        <f>X47*(1+Окружение!W13)</f>
        <v>190105.25755602465</v>
      </c>
    </row>
    <row r="59" spans="1:24" x14ac:dyDescent="0.2">
      <c r="A59" s="9"/>
      <c r="B59" s="284" t="s">
        <v>522</v>
      </c>
      <c r="C59" s="13"/>
      <c r="D59" s="14" t="s">
        <v>117</v>
      </c>
      <c r="E59" s="15">
        <f>E51*(1+Окружение!D13)</f>
        <v>6556.0000000000009</v>
      </c>
      <c r="F59" s="15">
        <f>F51*(1+Окружение!E13)</f>
        <v>8960.552489667416</v>
      </c>
      <c r="G59" s="15">
        <f>G51*(1+Окружение!F13)</f>
        <v>12545.547018763269</v>
      </c>
      <c r="H59" s="15">
        <f>H51*(1+Окружение!G13)</f>
        <v>15097.060159626495</v>
      </c>
      <c r="I59" s="15">
        <f>I51*(1+Окружение!H13)</f>
        <v>20114.17732121787</v>
      </c>
      <c r="J59" s="15">
        <f>J51*(1+Окружение!I13)</f>
        <v>26520.417309474738</v>
      </c>
      <c r="K59" s="15">
        <f>K51*(1+Окружение!J13)</f>
        <v>41758.117262677129</v>
      </c>
      <c r="L59" s="15">
        <f>L51*(1+Окружение!K13)</f>
        <v>52555.189040299781</v>
      </c>
      <c r="M59" s="15">
        <f>M51*(1+Окружение!L13)</f>
        <v>62214.105099582273</v>
      </c>
      <c r="N59" s="15">
        <f>N51*(1+Окружение!M13)</f>
        <v>73433.478418735875</v>
      </c>
      <c r="O59" s="15">
        <f>O51*(1+Окружение!N13)</f>
        <v>81047.085246496164</v>
      </c>
      <c r="P59" s="15">
        <f>P51*(1+Окружение!O13)</f>
        <v>90194.714905352594</v>
      </c>
      <c r="Q59" s="15">
        <f>Q51*(1+Окружение!P13)</f>
        <v>98014.958943205813</v>
      </c>
      <c r="R59" s="15">
        <f>R51*(1+Окружение!Q13)</f>
        <v>104654.41445564426</v>
      </c>
      <c r="S59" s="15">
        <f>S51*(1+Окружение!R13)</f>
        <v>111442.07006589741</v>
      </c>
      <c r="T59" s="15">
        <f>T51*(1+Окружение!S13)</f>
        <v>123951.41335154709</v>
      </c>
      <c r="U59" s="15">
        <f>U51*(1+Окружение!T13)</f>
        <v>131111.79096991851</v>
      </c>
      <c r="V59" s="15">
        <f>V51*(1+Окружение!U13)</f>
        <v>141283.45951511982</v>
      </c>
      <c r="W59" s="15">
        <f>W51*(1+Окружение!V13)</f>
        <v>151685.03981191595</v>
      </c>
      <c r="X59" s="15">
        <f>X51*(1+Окружение!W13)</f>
        <v>163782.99112519037</v>
      </c>
    </row>
    <row r="60" spans="1:24" x14ac:dyDescent="0.2">
      <c r="A60" s="9"/>
      <c r="B60" s="10" t="s">
        <v>113</v>
      </c>
      <c r="C60" s="10"/>
      <c r="D60" s="14" t="s">
        <v>117</v>
      </c>
      <c r="E60" s="17">
        <f>SUM(E58:E59)</f>
        <v>9746.0000000000018</v>
      </c>
      <c r="F60" s="17">
        <f t="shared" ref="F60:X60" si="17">SUM(F58:F59)</f>
        <v>19153.180946664103</v>
      </c>
      <c r="G60" s="17">
        <f t="shared" si="17"/>
        <v>31820.069256681389</v>
      </c>
      <c r="H60" s="17">
        <f t="shared" si="17"/>
        <v>45291.180478879483</v>
      </c>
      <c r="I60" s="17">
        <f t="shared" si="17"/>
        <v>54722.394182725096</v>
      </c>
      <c r="J60" s="17">
        <f t="shared" si="17"/>
        <v>66481.864300796908</v>
      </c>
      <c r="K60" s="17">
        <f t="shared" si="17"/>
        <v>90455.451070475625</v>
      </c>
      <c r="L60" s="17">
        <f t="shared" si="17"/>
        <v>108676.62305119136</v>
      </c>
      <c r="M60" s="17">
        <f t="shared" si="17"/>
        <v>132363.68278839701</v>
      </c>
      <c r="N60" s="17">
        <f t="shared" si="17"/>
        <v>157173.4099488733</v>
      </c>
      <c r="O60" s="17">
        <f t="shared" si="17"/>
        <v>176212.04985851108</v>
      </c>
      <c r="P60" s="17">
        <f t="shared" si="17"/>
        <v>197964.13528858643</v>
      </c>
      <c r="Q60" s="17">
        <f t="shared" si="17"/>
        <v>221070.72589039506</v>
      </c>
      <c r="R60" s="17">
        <f t="shared" si="17"/>
        <v>245122.38502695388</v>
      </c>
      <c r="S60" s="17">
        <f t="shared" si="17"/>
        <v>279568.25478259701</v>
      </c>
      <c r="T60" s="17">
        <f t="shared" si="17"/>
        <v>305004.03959537996</v>
      </c>
      <c r="U60" s="17">
        <f t="shared" si="17"/>
        <v>260320.34626446728</v>
      </c>
      <c r="V60" s="17">
        <f t="shared" si="17"/>
        <v>288774.82861499494</v>
      </c>
      <c r="W60" s="17">
        <f t="shared" si="17"/>
        <v>328217.53376445058</v>
      </c>
      <c r="X60" s="17">
        <f t="shared" si="17"/>
        <v>353888.24868121499</v>
      </c>
    </row>
    <row r="61" spans="1:24" x14ac:dyDescent="0.2">
      <c r="A61" s="9"/>
      <c r="B61" s="42" t="s">
        <v>139</v>
      </c>
      <c r="C61" s="42"/>
      <c r="D61" s="14" t="s">
        <v>117</v>
      </c>
      <c r="E61" s="77">
        <f>E60-E60/(1+Окружение!D13)</f>
        <v>886</v>
      </c>
      <c r="F61" s="77">
        <f>F60-F60/(1+Окружение!E13)</f>
        <v>1741.1982678785571</v>
      </c>
      <c r="G61" s="77">
        <f>G60-G60/(1+Окружение!F13)</f>
        <v>2892.7335687892191</v>
      </c>
      <c r="H61" s="77">
        <f>H60-H60/(1+Окружение!G13)</f>
        <v>4117.3800435345038</v>
      </c>
      <c r="I61" s="77">
        <f>I60-I60/(1+Окружение!H13)</f>
        <v>4974.7631075204699</v>
      </c>
      <c r="J61" s="77">
        <f>J60-J60/(1+Окружение!I13)</f>
        <v>6043.8058455269929</v>
      </c>
      <c r="K61" s="77">
        <f>K60-K60/(1+Окружение!J13)</f>
        <v>8223.2228245886945</v>
      </c>
      <c r="L61" s="77">
        <f>L60-L60/(1+Окружение!K13)</f>
        <v>9879.6930046537746</v>
      </c>
      <c r="M61" s="77">
        <f>M60-M60/(1+Окружение!L13)</f>
        <v>12033.062071672466</v>
      </c>
      <c r="N61" s="77">
        <f>N60-N60/(1+Окружение!M13)</f>
        <v>14288.491813533939</v>
      </c>
      <c r="O61" s="77">
        <f>O60-O60/(1+Окружение!N13)</f>
        <v>16019.27725986467</v>
      </c>
      <c r="P61" s="77">
        <f>P60-P60/(1+Окружение!O13)</f>
        <v>17996.739571689686</v>
      </c>
      <c r="Q61" s="77">
        <f>Q60-Q60/(1+Окружение!P13)</f>
        <v>20097.338717308652</v>
      </c>
      <c r="R61" s="77">
        <f>R60-R60/(1+Окружение!Q13)</f>
        <v>22283.853184268548</v>
      </c>
      <c r="S61" s="77">
        <f>S60-S60/(1+Окружение!R13)</f>
        <v>25415.295889327012</v>
      </c>
      <c r="T61" s="77">
        <f>T60-T60/(1+Окружение!S13)</f>
        <v>27727.639963216381</v>
      </c>
      <c r="U61" s="77">
        <f>U60-U60/(1+Окружение!T13)</f>
        <v>23665.486024042504</v>
      </c>
      <c r="V61" s="77">
        <f>V60-V60/(1+Окружение!U13)</f>
        <v>26252.257146817748</v>
      </c>
      <c r="W61" s="77">
        <f>W60-W60/(1+Окружение!V13)</f>
        <v>29837.957614950079</v>
      </c>
      <c r="X61" s="77">
        <f>X60-X60/(1+Окружение!W13)</f>
        <v>32171.658971019555</v>
      </c>
    </row>
    <row r="62" spans="1:24" x14ac:dyDescent="0.2">
      <c r="A62" s="9"/>
      <c r="B62" s="9"/>
      <c r="C62" s="9"/>
    </row>
    <row r="63" spans="1:24" x14ac:dyDescent="0.2">
      <c r="A63" s="25" t="s">
        <v>287</v>
      </c>
    </row>
    <row r="64" spans="1:24" x14ac:dyDescent="0.2">
      <c r="B64" s="9" t="s">
        <v>527</v>
      </c>
      <c r="C64" s="13"/>
      <c r="D64" s="14" t="s">
        <v>114</v>
      </c>
      <c r="E64" s="89">
        <f t="shared" ref="E64:X64" si="18">E20-E5</f>
        <v>1076.9230769230767</v>
      </c>
      <c r="F64" s="89">
        <f>F20-F5</f>
        <v>3769.2307692307695</v>
      </c>
      <c r="G64" s="89">
        <f t="shared" si="18"/>
        <v>7000</v>
      </c>
      <c r="H64" s="89">
        <f t="shared" si="18"/>
        <v>10769.23076923077</v>
      </c>
      <c r="I64" s="89">
        <f t="shared" si="18"/>
        <v>12115.384615384617</v>
      </c>
      <c r="J64" s="89">
        <f t="shared" si="18"/>
        <v>13730.769230769227</v>
      </c>
      <c r="K64" s="89">
        <f t="shared" si="18"/>
        <v>16423.076923076922</v>
      </c>
      <c r="L64" s="89">
        <f t="shared" si="18"/>
        <v>18576.923076923078</v>
      </c>
      <c r="M64" s="89">
        <f t="shared" si="18"/>
        <v>22884.615384615383</v>
      </c>
      <c r="N64" s="89">
        <f t="shared" si="18"/>
        <v>26923.076923076922</v>
      </c>
      <c r="O64" s="89">
        <f t="shared" si="18"/>
        <v>30153.846153846156</v>
      </c>
      <c r="P64" s="89">
        <f t="shared" si="18"/>
        <v>33653.846153846156</v>
      </c>
      <c r="Q64" s="89">
        <f t="shared" si="18"/>
        <v>37961.538461538454</v>
      </c>
      <c r="R64" s="89">
        <f t="shared" si="18"/>
        <v>42807.692307692298</v>
      </c>
      <c r="S64" s="89">
        <f t="shared" si="18"/>
        <v>50615.384615384624</v>
      </c>
      <c r="T64" s="89">
        <f t="shared" si="18"/>
        <v>53846.153846153844</v>
      </c>
      <c r="U64" s="89">
        <f t="shared" si="18"/>
        <v>37961.538461538454</v>
      </c>
      <c r="V64" s="89">
        <f t="shared" si="18"/>
        <v>42807.692307692298</v>
      </c>
      <c r="W64" s="89">
        <f t="shared" si="18"/>
        <v>50615.384615384624</v>
      </c>
      <c r="X64" s="89">
        <f t="shared" si="18"/>
        <v>53846.153846153844</v>
      </c>
    </row>
    <row r="65" spans="1:24" x14ac:dyDescent="0.2">
      <c r="B65" s="9" t="s">
        <v>528</v>
      </c>
      <c r="C65" s="13"/>
      <c r="D65" s="14" t="s">
        <v>114</v>
      </c>
      <c r="E65" s="89">
        <f t="shared" ref="E65:X65" si="19">E21-E9</f>
        <v>11571.428571428572</v>
      </c>
      <c r="F65" s="89">
        <f t="shared" si="19"/>
        <v>17142.857142857145</v>
      </c>
      <c r="G65" s="89">
        <f t="shared" si="19"/>
        <v>23571.42857142858</v>
      </c>
      <c r="H65" s="89">
        <f t="shared" si="19"/>
        <v>27857.14285714287</v>
      </c>
      <c r="I65" s="89">
        <f t="shared" si="19"/>
        <v>85000</v>
      </c>
      <c r="J65" s="89">
        <f t="shared" si="19"/>
        <v>110000</v>
      </c>
      <c r="K65" s="89">
        <f t="shared" si="19"/>
        <v>170000</v>
      </c>
      <c r="L65" s="89">
        <f t="shared" si="19"/>
        <v>210000</v>
      </c>
      <c r="M65" s="89">
        <f t="shared" si="19"/>
        <v>245000</v>
      </c>
      <c r="N65" s="89">
        <f t="shared" si="19"/>
        <v>285000</v>
      </c>
      <c r="O65" s="89">
        <f t="shared" si="19"/>
        <v>310000</v>
      </c>
      <c r="P65" s="89">
        <f t="shared" si="19"/>
        <v>340000</v>
      </c>
      <c r="Q65" s="89">
        <f t="shared" si="19"/>
        <v>365000</v>
      </c>
      <c r="R65" s="89">
        <f t="shared" si="19"/>
        <v>385000</v>
      </c>
      <c r="S65" s="89">
        <f t="shared" si="19"/>
        <v>405000</v>
      </c>
      <c r="T65" s="89">
        <f t="shared" si="19"/>
        <v>445000</v>
      </c>
      <c r="U65" s="89">
        <f t="shared" si="19"/>
        <v>465000</v>
      </c>
      <c r="V65" s="89">
        <f t="shared" si="19"/>
        <v>495000</v>
      </c>
      <c r="W65" s="89">
        <f t="shared" si="19"/>
        <v>525000</v>
      </c>
      <c r="X65" s="89">
        <f t="shared" si="19"/>
        <v>560000</v>
      </c>
    </row>
    <row r="66" spans="1:24" x14ac:dyDescent="0.2">
      <c r="E66" s="90"/>
      <c r="F66" s="49"/>
      <c r="G66" s="49"/>
      <c r="H66" s="49"/>
      <c r="I66" s="49"/>
      <c r="J66" s="49"/>
      <c r="K66" s="49"/>
      <c r="L66" s="49"/>
      <c r="M66" s="49"/>
      <c r="N66" s="49"/>
      <c r="O66" s="49"/>
    </row>
    <row r="67" spans="1:24" x14ac:dyDescent="0.2">
      <c r="B67" s="9" t="s">
        <v>527</v>
      </c>
      <c r="C67" s="13"/>
      <c r="D67" s="14" t="s">
        <v>117</v>
      </c>
      <c r="E67" s="91">
        <f>(E64*Затраты!F90)/1000</f>
        <v>223.42426230234139</v>
      </c>
      <c r="F67" s="91">
        <f>(F64*Затраты!G90)/1000</f>
        <v>645.89230152315099</v>
      </c>
      <c r="G67" s="91">
        <f>(G64*Затраты!H90)/1000</f>
        <v>1081.1557651217606</v>
      </c>
      <c r="H67" s="91">
        <f>(H64*Затраты!I90)/1000</f>
        <v>1595.0380964069309</v>
      </c>
      <c r="I67" s="91">
        <f>(I64*Затраты!J90)/1000</f>
        <v>1806.8384579408203</v>
      </c>
      <c r="J67" s="91">
        <f>(J64*Затраты!K90)/1000</f>
        <v>1991.4986912255281</v>
      </c>
      <c r="K67" s="91">
        <f>(K64*Затраты!L90)/1000</f>
        <v>2293.1582999164084</v>
      </c>
      <c r="L67" s="91">
        <f>(L64*Затраты!M90)/1000</f>
        <v>2570.0459621359996</v>
      </c>
      <c r="M67" s="91">
        <f>(M64*Затраты!N90)/1000</f>
        <v>3151.9627683076292</v>
      </c>
      <c r="N67" s="91">
        <f>(N64*Затраты!O90)/1000</f>
        <v>3703.8753540328048</v>
      </c>
      <c r="O67" s="91">
        <f>(O64*Затраты!P90)/1000</f>
        <v>4191.889512640646</v>
      </c>
      <c r="P67" s="91">
        <f>(P64*Затраты!Q90)/1000</f>
        <v>4707.7879608914782</v>
      </c>
      <c r="Q67" s="91">
        <f>(Q64*Затраты!R90)/1000</f>
        <v>5343.1483618239727</v>
      </c>
      <c r="R67" s="91">
        <f>(R64*Затраты!S90)/1000</f>
        <v>6070.6051864897991</v>
      </c>
      <c r="S67" s="91">
        <f>(S64*Затраты!T90)/1000</f>
        <v>7230.2836745298728</v>
      </c>
      <c r="T67" s="91">
        <f>(T64*Затраты!U90)/1000</f>
        <v>7739.2441022935745</v>
      </c>
      <c r="U67" s="91">
        <f>(U64*Затраты!V90)/1000</f>
        <v>5524.9440007276999</v>
      </c>
      <c r="V67" s="91">
        <f>(V64*Затраты!W90)/1000</f>
        <v>6279.4106903753145</v>
      </c>
      <c r="W67" s="91">
        <f>(W64*Затраты!X90)/1000</f>
        <v>7484.1716542965341</v>
      </c>
      <c r="X67" s="91">
        <f>(X64*Затраты!Y90)/1000</f>
        <v>8030.9378748260006</v>
      </c>
    </row>
    <row r="68" spans="1:24" x14ac:dyDescent="0.2">
      <c r="B68" s="9" t="s">
        <v>528</v>
      </c>
      <c r="C68" s="13"/>
      <c r="D68" s="14" t="s">
        <v>117</v>
      </c>
      <c r="E68" s="91">
        <f>(E65*Затраты!F99)/1000</f>
        <v>2226.2579130315594</v>
      </c>
      <c r="F68" s="91">
        <f>(F65*Затраты!G99)/1000</f>
        <v>2674.482152013748</v>
      </c>
      <c r="G68" s="91">
        <f>(G65*Затраты!H99)/1000</f>
        <v>3272.2584871242129</v>
      </c>
      <c r="H68" s="91">
        <f>(H65*Затраты!I99)/1000</f>
        <v>3682.6536215010333</v>
      </c>
      <c r="I68" s="91">
        <f>(I65*Затраты!J99)/1000</f>
        <v>11298.478685299553</v>
      </c>
      <c r="J68" s="91">
        <f>(J65*Затраты!K99)/1000</f>
        <v>14137.325889427431</v>
      </c>
      <c r="K68" s="91">
        <f>(K65*Затраты!L99)/1000</f>
        <v>20876.19342581051</v>
      </c>
      <c r="L68" s="91">
        <f>(L65*Затраты!M99)/1000</f>
        <v>25452.011525147169</v>
      </c>
      <c r="M68" s="91">
        <f>(M65*Затраты!N99)/1000</f>
        <v>29482.105129794105</v>
      </c>
      <c r="N68" s="91">
        <f>(N65*Затраты!O99)/1000</f>
        <v>34177.062643629622</v>
      </c>
      <c r="O68" s="91">
        <f>(O65*Затраты!P99)/1000</f>
        <v>37542.460597594967</v>
      </c>
      <c r="P68" s="91">
        <f>(P65*Затраты!Q99)/1000</f>
        <v>41382.653140432194</v>
      </c>
      <c r="Q68" s="91">
        <f>(Q65*Затраты!R99)/1000</f>
        <v>44659.10468223253</v>
      </c>
      <c r="R68" s="91">
        <f>(R65*Затраты!S99)/1000</f>
        <v>47427.142012589058</v>
      </c>
      <c r="S68" s="91">
        <f>(S65*Затраты!T99)/1000</f>
        <v>50218.094356521331</v>
      </c>
      <c r="T68" s="91">
        <f>(T65*Затраты!U99)/1000</f>
        <v>55467.116071604956</v>
      </c>
      <c r="U68" s="91">
        <f>(U65*Затраты!V99)/1000</f>
        <v>58693.58268897947</v>
      </c>
      <c r="V68" s="91">
        <f>(V65*Затраты!W99)/1000</f>
        <v>62931.306943859905</v>
      </c>
      <c r="W68" s="91">
        <f>(W65*Затраты!X99)/1000</f>
        <v>67236.070581308246</v>
      </c>
      <c r="X68" s="91">
        <f>(X65*Затраты!Y99)/1000</f>
        <v>72300.588638456291</v>
      </c>
    </row>
    <row r="69" spans="1:24" x14ac:dyDescent="0.2">
      <c r="B69" s="10" t="s">
        <v>113</v>
      </c>
      <c r="C69" s="10"/>
      <c r="D69" s="14" t="s">
        <v>117</v>
      </c>
      <c r="E69" s="17">
        <f>SUM(E67:E68)</f>
        <v>2449.6821753339009</v>
      </c>
      <c r="F69" s="17">
        <f t="shared" ref="F69:X69" si="20">SUM(F67:F68)</f>
        <v>3320.3744535368987</v>
      </c>
      <c r="G69" s="17">
        <f t="shared" si="20"/>
        <v>4353.4142522459733</v>
      </c>
      <c r="H69" s="17">
        <f t="shared" si="20"/>
        <v>5277.6917179079646</v>
      </c>
      <c r="I69" s="17">
        <f t="shared" si="20"/>
        <v>13105.317143240372</v>
      </c>
      <c r="J69" s="17">
        <f t="shared" si="20"/>
        <v>16128.824580652959</v>
      </c>
      <c r="K69" s="17">
        <f t="shared" si="20"/>
        <v>23169.35172572692</v>
      </c>
      <c r="L69" s="17">
        <f t="shared" si="20"/>
        <v>28022.057487283168</v>
      </c>
      <c r="M69" s="17">
        <f t="shared" si="20"/>
        <v>32634.067898101734</v>
      </c>
      <c r="N69" s="17">
        <f t="shared" si="20"/>
        <v>37880.937997662426</v>
      </c>
      <c r="O69" s="17">
        <f t="shared" si="20"/>
        <v>41734.350110235609</v>
      </c>
      <c r="P69" s="17">
        <f t="shared" si="20"/>
        <v>46090.441101323675</v>
      </c>
      <c r="Q69" s="17">
        <f t="shared" si="20"/>
        <v>50002.253044056502</v>
      </c>
      <c r="R69" s="17">
        <f t="shared" si="20"/>
        <v>53497.747199078854</v>
      </c>
      <c r="S69" s="17">
        <f t="shared" si="20"/>
        <v>57448.378031051201</v>
      </c>
      <c r="T69" s="17">
        <f t="shared" si="20"/>
        <v>63206.360173898531</v>
      </c>
      <c r="U69" s="17">
        <f t="shared" si="20"/>
        <v>64218.526689707171</v>
      </c>
      <c r="V69" s="17">
        <f t="shared" si="20"/>
        <v>69210.717634235218</v>
      </c>
      <c r="W69" s="17">
        <f t="shared" si="20"/>
        <v>74720.242235604775</v>
      </c>
      <c r="X69" s="17">
        <f t="shared" si="20"/>
        <v>80331.526513282297</v>
      </c>
    </row>
    <row r="70" spans="1:24" x14ac:dyDescent="0.2">
      <c r="E70" s="67"/>
      <c r="F70" s="49"/>
      <c r="G70" s="49"/>
      <c r="H70" s="49"/>
      <c r="I70" s="49"/>
      <c r="J70" s="49"/>
      <c r="K70" s="49"/>
      <c r="L70" s="49"/>
      <c r="M70" s="49"/>
      <c r="N70" s="49"/>
      <c r="O70" s="49"/>
    </row>
    <row r="71" spans="1:24" x14ac:dyDescent="0.2">
      <c r="A71" s="25" t="s">
        <v>331</v>
      </c>
      <c r="E71" s="67"/>
      <c r="F71" s="49"/>
      <c r="G71" s="49"/>
      <c r="H71" s="49"/>
      <c r="I71" s="49"/>
      <c r="J71" s="49"/>
      <c r="K71" s="49"/>
      <c r="L71" s="49"/>
      <c r="M71" s="49"/>
      <c r="N71" s="49"/>
      <c r="O71" s="49"/>
    </row>
    <row r="72" spans="1:24" x14ac:dyDescent="0.2">
      <c r="A72" s="25"/>
      <c r="B72" s="13" t="s">
        <v>529</v>
      </c>
      <c r="C72" s="13"/>
      <c r="D72" s="14" t="s">
        <v>123</v>
      </c>
      <c r="E72" s="76">
        <v>0</v>
      </c>
      <c r="F72" s="81">
        <f>E72</f>
        <v>0</v>
      </c>
      <c r="G72" s="81">
        <f t="shared" ref="G72:X72" si="21">F72</f>
        <v>0</v>
      </c>
      <c r="H72" s="81">
        <f t="shared" si="21"/>
        <v>0</v>
      </c>
      <c r="I72" s="81">
        <v>0</v>
      </c>
      <c r="J72" s="81">
        <f t="shared" si="21"/>
        <v>0</v>
      </c>
      <c r="K72" s="81">
        <f t="shared" si="21"/>
        <v>0</v>
      </c>
      <c r="L72" s="81">
        <f t="shared" si="21"/>
        <v>0</v>
      </c>
      <c r="M72" s="81">
        <v>0.5</v>
      </c>
      <c r="N72" s="81">
        <f t="shared" si="21"/>
        <v>0.5</v>
      </c>
      <c r="O72" s="81">
        <f t="shared" si="21"/>
        <v>0.5</v>
      </c>
      <c r="P72" s="81">
        <f t="shared" si="21"/>
        <v>0.5</v>
      </c>
      <c r="Q72" s="81">
        <v>0.7</v>
      </c>
      <c r="R72" s="81">
        <f t="shared" si="21"/>
        <v>0.7</v>
      </c>
      <c r="S72" s="81">
        <f t="shared" si="21"/>
        <v>0.7</v>
      </c>
      <c r="T72" s="81">
        <f t="shared" si="21"/>
        <v>0.7</v>
      </c>
      <c r="U72" s="81">
        <f t="shared" si="21"/>
        <v>0.7</v>
      </c>
      <c r="V72" s="81">
        <f t="shared" si="21"/>
        <v>0.7</v>
      </c>
      <c r="W72" s="81">
        <f t="shared" si="21"/>
        <v>0.7</v>
      </c>
      <c r="X72" s="81">
        <f t="shared" si="21"/>
        <v>0.7</v>
      </c>
    </row>
    <row r="73" spans="1:24" x14ac:dyDescent="0.2">
      <c r="A73" s="25"/>
      <c r="B73" s="13" t="s">
        <v>530</v>
      </c>
      <c r="C73" s="13"/>
      <c r="D73" s="14" t="s">
        <v>123</v>
      </c>
      <c r="E73" s="76">
        <v>0</v>
      </c>
      <c r="F73" s="81">
        <f>E73</f>
        <v>0</v>
      </c>
      <c r="G73" s="81">
        <f t="shared" ref="G73:X73" si="22">F73</f>
        <v>0</v>
      </c>
      <c r="H73" s="81">
        <f t="shared" si="22"/>
        <v>0</v>
      </c>
      <c r="I73" s="81">
        <v>0.5</v>
      </c>
      <c r="J73" s="81">
        <f t="shared" si="22"/>
        <v>0.5</v>
      </c>
      <c r="K73" s="81">
        <f t="shared" si="22"/>
        <v>0.5</v>
      </c>
      <c r="L73" s="81">
        <f t="shared" si="22"/>
        <v>0.5</v>
      </c>
      <c r="M73" s="81">
        <v>0.7</v>
      </c>
      <c r="N73" s="81">
        <f t="shared" si="22"/>
        <v>0.7</v>
      </c>
      <c r="O73" s="81">
        <f t="shared" si="22"/>
        <v>0.7</v>
      </c>
      <c r="P73" s="81">
        <f t="shared" si="22"/>
        <v>0.7</v>
      </c>
      <c r="Q73" s="81">
        <f t="shared" si="22"/>
        <v>0.7</v>
      </c>
      <c r="R73" s="81">
        <f t="shared" si="22"/>
        <v>0.7</v>
      </c>
      <c r="S73" s="81">
        <f t="shared" si="22"/>
        <v>0.7</v>
      </c>
      <c r="T73" s="81">
        <f t="shared" si="22"/>
        <v>0.7</v>
      </c>
      <c r="U73" s="81">
        <f t="shared" si="22"/>
        <v>0.7</v>
      </c>
      <c r="V73" s="81">
        <f t="shared" si="22"/>
        <v>0.7</v>
      </c>
      <c r="W73" s="81">
        <f t="shared" si="22"/>
        <v>0.7</v>
      </c>
      <c r="X73" s="81">
        <f t="shared" si="22"/>
        <v>0.7</v>
      </c>
    </row>
    <row r="74" spans="1:24" x14ac:dyDescent="0.2">
      <c r="A74" s="25"/>
      <c r="B74" s="13"/>
      <c r="C74" s="13"/>
      <c r="D74" s="14"/>
      <c r="E74" s="67"/>
      <c r="F74" s="49"/>
      <c r="G74" s="49"/>
      <c r="H74" s="49"/>
      <c r="I74" s="49"/>
      <c r="J74" s="49"/>
      <c r="K74" s="49"/>
      <c r="L74" s="49"/>
      <c r="M74" s="49"/>
      <c r="N74" s="49"/>
      <c r="O74" s="49"/>
    </row>
    <row r="75" spans="1:24" x14ac:dyDescent="0.2">
      <c r="B75" s="284" t="s">
        <v>521</v>
      </c>
      <c r="C75" s="13"/>
      <c r="D75" s="14" t="s">
        <v>117</v>
      </c>
      <c r="E75" s="82">
        <f t="shared" ref="E75:X75" si="23">E58*E72</f>
        <v>0</v>
      </c>
      <c r="F75" s="82">
        <f t="shared" si="23"/>
        <v>0</v>
      </c>
      <c r="G75" s="82">
        <f t="shared" si="23"/>
        <v>0</v>
      </c>
      <c r="H75" s="82">
        <f t="shared" si="23"/>
        <v>0</v>
      </c>
      <c r="I75" s="82">
        <f t="shared" si="23"/>
        <v>0</v>
      </c>
      <c r="J75" s="82">
        <f t="shared" si="23"/>
        <v>0</v>
      </c>
      <c r="K75" s="82">
        <f t="shared" si="23"/>
        <v>0</v>
      </c>
      <c r="L75" s="82">
        <f t="shared" si="23"/>
        <v>0</v>
      </c>
      <c r="M75" s="82">
        <f t="shared" si="23"/>
        <v>35074.788844407369</v>
      </c>
      <c r="N75" s="82">
        <f t="shared" si="23"/>
        <v>41869.965765068715</v>
      </c>
      <c r="O75" s="82">
        <f t="shared" si="23"/>
        <v>47582.482306007449</v>
      </c>
      <c r="P75" s="82">
        <f t="shared" si="23"/>
        <v>53884.710191616912</v>
      </c>
      <c r="Q75" s="82">
        <f t="shared" si="23"/>
        <v>86139.036863032481</v>
      </c>
      <c r="R75" s="82">
        <f t="shared" si="23"/>
        <v>98327.579399916722</v>
      </c>
      <c r="S75" s="82">
        <f t="shared" si="23"/>
        <v>117688.32930168972</v>
      </c>
      <c r="T75" s="82">
        <f t="shared" si="23"/>
        <v>126736.83837068302</v>
      </c>
      <c r="U75" s="82">
        <f t="shared" si="23"/>
        <v>90445.988706184129</v>
      </c>
      <c r="V75" s="82">
        <f t="shared" si="23"/>
        <v>103243.95836991258</v>
      </c>
      <c r="W75" s="82">
        <f t="shared" si="23"/>
        <v>123572.74576677426</v>
      </c>
      <c r="X75" s="82">
        <f t="shared" si="23"/>
        <v>133073.68028921724</v>
      </c>
    </row>
    <row r="76" spans="1:24" x14ac:dyDescent="0.2">
      <c r="B76" s="284" t="s">
        <v>522</v>
      </c>
      <c r="C76" s="13"/>
      <c r="D76" s="14" t="s">
        <v>117</v>
      </c>
      <c r="E76" s="82">
        <f>E59*E73</f>
        <v>0</v>
      </c>
      <c r="F76" s="82">
        <f t="shared" ref="F76:X76" si="24">F59*F73</f>
        <v>0</v>
      </c>
      <c r="G76" s="82">
        <f t="shared" si="24"/>
        <v>0</v>
      </c>
      <c r="H76" s="82">
        <f t="shared" si="24"/>
        <v>0</v>
      </c>
      <c r="I76" s="82">
        <f t="shared" si="24"/>
        <v>10057.088660608935</v>
      </c>
      <c r="J76" s="82">
        <f t="shared" si="24"/>
        <v>13260.208654737369</v>
      </c>
      <c r="K76" s="82">
        <f t="shared" si="24"/>
        <v>20879.058631338565</v>
      </c>
      <c r="L76" s="82">
        <f t="shared" si="24"/>
        <v>26277.594520149891</v>
      </c>
      <c r="M76" s="82">
        <f t="shared" si="24"/>
        <v>43549.87356970759</v>
      </c>
      <c r="N76" s="82">
        <f t="shared" si="24"/>
        <v>51403.434893115111</v>
      </c>
      <c r="O76" s="82">
        <f t="shared" si="24"/>
        <v>56732.959672547309</v>
      </c>
      <c r="P76" s="82">
        <f t="shared" si="24"/>
        <v>63136.300433746808</v>
      </c>
      <c r="Q76" s="82">
        <f t="shared" si="24"/>
        <v>68610.47126024407</v>
      </c>
      <c r="R76" s="82">
        <f t="shared" si="24"/>
        <v>73258.090118950975</v>
      </c>
      <c r="S76" s="82">
        <f t="shared" si="24"/>
        <v>78009.449046128182</v>
      </c>
      <c r="T76" s="82">
        <f t="shared" si="24"/>
        <v>86765.989346082963</v>
      </c>
      <c r="U76" s="82">
        <f t="shared" si="24"/>
        <v>91778.253678942958</v>
      </c>
      <c r="V76" s="82">
        <f t="shared" si="24"/>
        <v>98898.421660583859</v>
      </c>
      <c r="W76" s="82">
        <f t="shared" si="24"/>
        <v>106179.52786834116</v>
      </c>
      <c r="X76" s="82">
        <f t="shared" si="24"/>
        <v>114648.09378763325</v>
      </c>
    </row>
    <row r="77" spans="1:24" x14ac:dyDescent="0.2">
      <c r="A77" s="88"/>
      <c r="B77" s="10" t="s">
        <v>113</v>
      </c>
      <c r="C77" s="10"/>
      <c r="D77" s="14" t="s">
        <v>117</v>
      </c>
      <c r="E77" s="123">
        <f t="shared" ref="E77:X77" si="25">SUM(E75:E76)</f>
        <v>0</v>
      </c>
      <c r="F77" s="123">
        <f t="shared" si="25"/>
        <v>0</v>
      </c>
      <c r="G77" s="123">
        <f t="shared" si="25"/>
        <v>0</v>
      </c>
      <c r="H77" s="123">
        <f t="shared" si="25"/>
        <v>0</v>
      </c>
      <c r="I77" s="123">
        <f t="shared" si="25"/>
        <v>10057.088660608935</v>
      </c>
      <c r="J77" s="123">
        <f t="shared" si="25"/>
        <v>13260.208654737369</v>
      </c>
      <c r="K77" s="123">
        <f t="shared" si="25"/>
        <v>20879.058631338565</v>
      </c>
      <c r="L77" s="123">
        <f t="shared" si="25"/>
        <v>26277.594520149891</v>
      </c>
      <c r="M77" s="123">
        <f t="shared" si="25"/>
        <v>78624.662414114951</v>
      </c>
      <c r="N77" s="123">
        <f t="shared" si="25"/>
        <v>93273.400658183818</v>
      </c>
      <c r="O77" s="123">
        <f t="shared" si="25"/>
        <v>104315.44197855477</v>
      </c>
      <c r="P77" s="123">
        <f t="shared" si="25"/>
        <v>117021.01062536372</v>
      </c>
      <c r="Q77" s="123">
        <f t="shared" si="25"/>
        <v>154749.50812327655</v>
      </c>
      <c r="R77" s="123">
        <f t="shared" si="25"/>
        <v>171585.66951886768</v>
      </c>
      <c r="S77" s="123">
        <f t="shared" si="25"/>
        <v>195697.77834781789</v>
      </c>
      <c r="T77" s="123">
        <f t="shared" si="25"/>
        <v>213502.82771676598</v>
      </c>
      <c r="U77" s="123">
        <f t="shared" si="25"/>
        <v>182224.24238512709</v>
      </c>
      <c r="V77" s="123">
        <f t="shared" si="25"/>
        <v>202142.38003049645</v>
      </c>
      <c r="W77" s="123">
        <f t="shared" si="25"/>
        <v>229752.27363511542</v>
      </c>
      <c r="X77" s="123">
        <f t="shared" si="25"/>
        <v>247721.7740768505</v>
      </c>
    </row>
    <row r="79" spans="1:24" x14ac:dyDescent="0.2">
      <c r="A79" s="25" t="s">
        <v>332</v>
      </c>
      <c r="E79" s="67"/>
      <c r="F79" s="49"/>
      <c r="G79" s="49"/>
      <c r="H79" s="49"/>
      <c r="I79" s="49"/>
      <c r="J79" s="49"/>
      <c r="K79" s="49"/>
      <c r="L79" s="49"/>
      <c r="M79" s="49"/>
      <c r="N79" s="49"/>
      <c r="O79" s="49"/>
    </row>
    <row r="80" spans="1:24" x14ac:dyDescent="0.2">
      <c r="A80" s="25"/>
      <c r="B80" s="13" t="s">
        <v>529</v>
      </c>
      <c r="C80" s="13"/>
      <c r="D80" s="14" t="s">
        <v>123</v>
      </c>
      <c r="E80" s="76">
        <v>0</v>
      </c>
      <c r="F80" s="81">
        <v>0</v>
      </c>
      <c r="G80" s="81">
        <f t="shared" ref="G80:X80" si="26">F80</f>
        <v>0</v>
      </c>
      <c r="H80" s="81">
        <f t="shared" si="26"/>
        <v>0</v>
      </c>
      <c r="I80" s="81">
        <f t="shared" si="26"/>
        <v>0</v>
      </c>
      <c r="J80" s="81">
        <f t="shared" si="26"/>
        <v>0</v>
      </c>
      <c r="K80" s="81">
        <f t="shared" si="26"/>
        <v>0</v>
      </c>
      <c r="L80" s="81">
        <f t="shared" si="26"/>
        <v>0</v>
      </c>
      <c r="M80" s="81">
        <f t="shared" si="26"/>
        <v>0</v>
      </c>
      <c r="N80" s="81">
        <f t="shared" si="26"/>
        <v>0</v>
      </c>
      <c r="O80" s="81">
        <f t="shared" si="26"/>
        <v>0</v>
      </c>
      <c r="P80" s="81">
        <f t="shared" si="26"/>
        <v>0</v>
      </c>
      <c r="Q80" s="81">
        <f t="shared" si="26"/>
        <v>0</v>
      </c>
      <c r="R80" s="81">
        <f t="shared" si="26"/>
        <v>0</v>
      </c>
      <c r="S80" s="81">
        <f t="shared" si="26"/>
        <v>0</v>
      </c>
      <c r="T80" s="81">
        <f t="shared" si="26"/>
        <v>0</v>
      </c>
      <c r="U80" s="81">
        <f t="shared" si="26"/>
        <v>0</v>
      </c>
      <c r="V80" s="81">
        <f t="shared" si="26"/>
        <v>0</v>
      </c>
      <c r="W80" s="81">
        <f t="shared" si="26"/>
        <v>0</v>
      </c>
      <c r="X80" s="81">
        <f t="shared" si="26"/>
        <v>0</v>
      </c>
    </row>
    <row r="81" spans="1:26" x14ac:dyDescent="0.2">
      <c r="A81" s="25"/>
      <c r="B81" s="13" t="s">
        <v>530</v>
      </c>
      <c r="C81" s="13"/>
      <c r="D81" s="14" t="s">
        <v>123</v>
      </c>
      <c r="E81" s="76">
        <v>0</v>
      </c>
      <c r="F81" s="81">
        <v>0</v>
      </c>
      <c r="G81" s="81">
        <f t="shared" ref="G81:X81" si="27">F81</f>
        <v>0</v>
      </c>
      <c r="H81" s="81">
        <f t="shared" si="27"/>
        <v>0</v>
      </c>
      <c r="I81" s="81">
        <f t="shared" si="27"/>
        <v>0</v>
      </c>
      <c r="J81" s="81">
        <f t="shared" si="27"/>
        <v>0</v>
      </c>
      <c r="K81" s="81">
        <f t="shared" si="27"/>
        <v>0</v>
      </c>
      <c r="L81" s="81">
        <f t="shared" si="27"/>
        <v>0</v>
      </c>
      <c r="M81" s="81">
        <f t="shared" si="27"/>
        <v>0</v>
      </c>
      <c r="N81" s="81">
        <f t="shared" si="27"/>
        <v>0</v>
      </c>
      <c r="O81" s="81">
        <f t="shared" si="27"/>
        <v>0</v>
      </c>
      <c r="P81" s="81">
        <f t="shared" si="27"/>
        <v>0</v>
      </c>
      <c r="Q81" s="81">
        <f t="shared" si="27"/>
        <v>0</v>
      </c>
      <c r="R81" s="81">
        <f t="shared" si="27"/>
        <v>0</v>
      </c>
      <c r="S81" s="81">
        <f t="shared" si="27"/>
        <v>0</v>
      </c>
      <c r="T81" s="81">
        <f t="shared" si="27"/>
        <v>0</v>
      </c>
      <c r="U81" s="81">
        <f t="shared" si="27"/>
        <v>0</v>
      </c>
      <c r="V81" s="81">
        <f t="shared" si="27"/>
        <v>0</v>
      </c>
      <c r="W81" s="81">
        <f t="shared" si="27"/>
        <v>0</v>
      </c>
      <c r="X81" s="81">
        <f t="shared" si="27"/>
        <v>0</v>
      </c>
    </row>
    <row r="82" spans="1:26" x14ac:dyDescent="0.2">
      <c r="A82" s="25"/>
      <c r="B82" s="13"/>
      <c r="C82" s="13"/>
      <c r="D82" s="14"/>
      <c r="E82" s="67"/>
      <c r="F82" s="49"/>
      <c r="G82" s="49"/>
      <c r="H82" s="49"/>
      <c r="I82" s="49"/>
      <c r="J82" s="49"/>
      <c r="K82" s="49"/>
      <c r="L82" s="49"/>
      <c r="M82" s="49"/>
      <c r="N82" s="49"/>
      <c r="O82" s="49"/>
    </row>
    <row r="83" spans="1:26" x14ac:dyDescent="0.2">
      <c r="B83" s="284" t="s">
        <v>521</v>
      </c>
      <c r="C83" s="13"/>
      <c r="D83" s="14" t="s">
        <v>117</v>
      </c>
      <c r="E83" s="82">
        <f t="shared" ref="E83:X83" si="28">E58*E80</f>
        <v>0</v>
      </c>
      <c r="F83" s="82">
        <f t="shared" si="28"/>
        <v>0</v>
      </c>
      <c r="G83" s="82">
        <f t="shared" si="28"/>
        <v>0</v>
      </c>
      <c r="H83" s="82">
        <f t="shared" si="28"/>
        <v>0</v>
      </c>
      <c r="I83" s="82">
        <f t="shared" si="28"/>
        <v>0</v>
      </c>
      <c r="J83" s="82">
        <f t="shared" si="28"/>
        <v>0</v>
      </c>
      <c r="K83" s="82">
        <f t="shared" si="28"/>
        <v>0</v>
      </c>
      <c r="L83" s="82">
        <f t="shared" si="28"/>
        <v>0</v>
      </c>
      <c r="M83" s="82">
        <f t="shared" si="28"/>
        <v>0</v>
      </c>
      <c r="N83" s="82">
        <f t="shared" si="28"/>
        <v>0</v>
      </c>
      <c r="O83" s="82">
        <f t="shared" si="28"/>
        <v>0</v>
      </c>
      <c r="P83" s="82">
        <f t="shared" si="28"/>
        <v>0</v>
      </c>
      <c r="Q83" s="82">
        <f t="shared" si="28"/>
        <v>0</v>
      </c>
      <c r="R83" s="82">
        <f t="shared" si="28"/>
        <v>0</v>
      </c>
      <c r="S83" s="82">
        <f t="shared" si="28"/>
        <v>0</v>
      </c>
      <c r="T83" s="82">
        <f t="shared" si="28"/>
        <v>0</v>
      </c>
      <c r="U83" s="82">
        <f t="shared" si="28"/>
        <v>0</v>
      </c>
      <c r="V83" s="82">
        <f t="shared" si="28"/>
        <v>0</v>
      </c>
      <c r="W83" s="82">
        <f t="shared" si="28"/>
        <v>0</v>
      </c>
      <c r="X83" s="82">
        <f t="shared" si="28"/>
        <v>0</v>
      </c>
    </row>
    <row r="84" spans="1:26" x14ac:dyDescent="0.2">
      <c r="B84" s="284" t="s">
        <v>522</v>
      </c>
      <c r="C84" s="13"/>
      <c r="D84" s="14" t="s">
        <v>117</v>
      </c>
      <c r="E84" s="82">
        <f t="shared" ref="E84:X84" si="29">E59*E81</f>
        <v>0</v>
      </c>
      <c r="F84" s="82">
        <f t="shared" si="29"/>
        <v>0</v>
      </c>
      <c r="G84" s="82">
        <f t="shared" si="29"/>
        <v>0</v>
      </c>
      <c r="H84" s="82">
        <f t="shared" si="29"/>
        <v>0</v>
      </c>
      <c r="I84" s="82">
        <f t="shared" si="29"/>
        <v>0</v>
      </c>
      <c r="J84" s="82">
        <f t="shared" si="29"/>
        <v>0</v>
      </c>
      <c r="K84" s="82">
        <f t="shared" si="29"/>
        <v>0</v>
      </c>
      <c r="L84" s="82">
        <f t="shared" si="29"/>
        <v>0</v>
      </c>
      <c r="M84" s="82">
        <f t="shared" si="29"/>
        <v>0</v>
      </c>
      <c r="N84" s="82">
        <f t="shared" si="29"/>
        <v>0</v>
      </c>
      <c r="O84" s="82">
        <f t="shared" si="29"/>
        <v>0</v>
      </c>
      <c r="P84" s="82">
        <f t="shared" si="29"/>
        <v>0</v>
      </c>
      <c r="Q84" s="82">
        <f t="shared" si="29"/>
        <v>0</v>
      </c>
      <c r="R84" s="82">
        <f t="shared" si="29"/>
        <v>0</v>
      </c>
      <c r="S84" s="82">
        <f t="shared" si="29"/>
        <v>0</v>
      </c>
      <c r="T84" s="82">
        <f t="shared" si="29"/>
        <v>0</v>
      </c>
      <c r="U84" s="82">
        <f t="shared" si="29"/>
        <v>0</v>
      </c>
      <c r="V84" s="82">
        <f t="shared" si="29"/>
        <v>0</v>
      </c>
      <c r="W84" s="82">
        <f t="shared" si="29"/>
        <v>0</v>
      </c>
      <c r="X84" s="82">
        <f t="shared" si="29"/>
        <v>0</v>
      </c>
    </row>
    <row r="85" spans="1:26" x14ac:dyDescent="0.2">
      <c r="A85" s="88"/>
      <c r="B85" s="10" t="s">
        <v>113</v>
      </c>
      <c r="C85" s="10"/>
      <c r="D85" s="14" t="s">
        <v>117</v>
      </c>
      <c r="E85" s="123">
        <f t="shared" ref="E85:X85" si="30">SUM(E83:E84)</f>
        <v>0</v>
      </c>
      <c r="F85" s="123">
        <f t="shared" si="30"/>
        <v>0</v>
      </c>
      <c r="G85" s="123">
        <f t="shared" si="30"/>
        <v>0</v>
      </c>
      <c r="H85" s="123">
        <f t="shared" si="30"/>
        <v>0</v>
      </c>
      <c r="I85" s="123">
        <f t="shared" si="30"/>
        <v>0</v>
      </c>
      <c r="J85" s="123">
        <f t="shared" si="30"/>
        <v>0</v>
      </c>
      <c r="K85" s="123">
        <f t="shared" si="30"/>
        <v>0</v>
      </c>
      <c r="L85" s="123">
        <f t="shared" si="30"/>
        <v>0</v>
      </c>
      <c r="M85" s="123">
        <f t="shared" si="30"/>
        <v>0</v>
      </c>
      <c r="N85" s="123">
        <f t="shared" si="30"/>
        <v>0</v>
      </c>
      <c r="O85" s="123">
        <f t="shared" si="30"/>
        <v>0</v>
      </c>
      <c r="P85" s="123">
        <f t="shared" si="30"/>
        <v>0</v>
      </c>
      <c r="Q85" s="123">
        <f t="shared" si="30"/>
        <v>0</v>
      </c>
      <c r="R85" s="123">
        <f t="shared" si="30"/>
        <v>0</v>
      </c>
      <c r="S85" s="123">
        <f t="shared" si="30"/>
        <v>0</v>
      </c>
      <c r="T85" s="123">
        <f t="shared" si="30"/>
        <v>0</v>
      </c>
      <c r="U85" s="123">
        <f t="shared" si="30"/>
        <v>0</v>
      </c>
      <c r="V85" s="123">
        <f t="shared" si="30"/>
        <v>0</v>
      </c>
      <c r="W85" s="123">
        <f t="shared" si="30"/>
        <v>0</v>
      </c>
      <c r="X85" s="123">
        <f t="shared" si="30"/>
        <v>0</v>
      </c>
    </row>
    <row r="87" spans="1:26" x14ac:dyDescent="0.2">
      <c r="A87" s="25" t="s">
        <v>343</v>
      </c>
      <c r="B87" s="1"/>
      <c r="C87" s="1"/>
      <c r="D87" s="80" t="s">
        <v>117</v>
      </c>
      <c r="E87" s="15">
        <f>E61</f>
        <v>886</v>
      </c>
      <c r="F87" s="15">
        <f t="shared" ref="F87:X87" si="31">F61</f>
        <v>1741.1982678785571</v>
      </c>
      <c r="G87" s="15">
        <f t="shared" si="31"/>
        <v>2892.7335687892191</v>
      </c>
      <c r="H87" s="15">
        <f t="shared" si="31"/>
        <v>4117.3800435345038</v>
      </c>
      <c r="I87" s="15">
        <f t="shared" si="31"/>
        <v>4974.7631075204699</v>
      </c>
      <c r="J87" s="15">
        <f t="shared" si="31"/>
        <v>6043.8058455269929</v>
      </c>
      <c r="K87" s="15">
        <f t="shared" si="31"/>
        <v>8223.2228245886945</v>
      </c>
      <c r="L87" s="15">
        <f t="shared" si="31"/>
        <v>9879.6930046537746</v>
      </c>
      <c r="M87" s="15">
        <f t="shared" si="31"/>
        <v>12033.062071672466</v>
      </c>
      <c r="N87" s="15">
        <f t="shared" si="31"/>
        <v>14288.491813533939</v>
      </c>
      <c r="O87" s="15">
        <f t="shared" si="31"/>
        <v>16019.27725986467</v>
      </c>
      <c r="P87" s="15">
        <f t="shared" si="31"/>
        <v>17996.739571689686</v>
      </c>
      <c r="Q87" s="15">
        <f t="shared" si="31"/>
        <v>20097.338717308652</v>
      </c>
      <c r="R87" s="15">
        <f t="shared" si="31"/>
        <v>22283.853184268548</v>
      </c>
      <c r="S87" s="15">
        <f t="shared" si="31"/>
        <v>25415.295889327012</v>
      </c>
      <c r="T87" s="15">
        <f t="shared" si="31"/>
        <v>27727.639963216381</v>
      </c>
      <c r="U87" s="15">
        <f t="shared" si="31"/>
        <v>23665.486024042504</v>
      </c>
      <c r="V87" s="15">
        <f t="shared" si="31"/>
        <v>26252.257146817748</v>
      </c>
      <c r="W87" s="15">
        <f t="shared" si="31"/>
        <v>29837.957614950079</v>
      </c>
      <c r="X87" s="15">
        <f t="shared" si="31"/>
        <v>32171.658971019555</v>
      </c>
      <c r="Y87" s="1"/>
      <c r="Z87" s="1"/>
    </row>
    <row r="88" spans="1:26" x14ac:dyDescent="0.2">
      <c r="A88" s="1"/>
      <c r="B88" s="1"/>
      <c r="C88" s="1"/>
      <c r="E88" s="56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</sheetData>
  <phoneticPr fontId="0" type="noConversion"/>
  <hyperlinks>
    <hyperlink ref="C1" r:id="rId1"/>
  </hyperlinks>
  <pageMargins left="0.75" right="0.75" top="1" bottom="1" header="0.5" footer="0.5"/>
  <pageSetup paperSize="9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67"/>
  <sheetViews>
    <sheetView zoomScale="85" zoomScaleNormal="85" workbookViewId="0"/>
  </sheetViews>
  <sheetFormatPr defaultRowHeight="12.75" x14ac:dyDescent="0.2"/>
  <cols>
    <col min="1" max="1" width="60.42578125" style="158" customWidth="1"/>
    <col min="2" max="7" width="11.85546875" style="158" customWidth="1"/>
    <col min="8" max="16384" width="9.140625" style="158"/>
  </cols>
  <sheetData>
    <row r="1" spans="1:8" ht="18" x14ac:dyDescent="0.25">
      <c r="A1" s="319" t="s">
        <v>573</v>
      </c>
    </row>
    <row r="2" spans="1:8" x14ac:dyDescent="0.2">
      <c r="A2" s="11" t="s">
        <v>497</v>
      </c>
      <c r="B2" s="174" t="s">
        <v>108</v>
      </c>
      <c r="C2" s="3">
        <f>Окружение!D4</f>
        <v>2014</v>
      </c>
      <c r="D2" s="4">
        <f>C2+1</f>
        <v>2015</v>
      </c>
      <c r="E2" s="5">
        <f>D2+1</f>
        <v>2016</v>
      </c>
      <c r="F2" s="6">
        <f>E2+1</f>
        <v>2017</v>
      </c>
      <c r="G2" s="7">
        <f>F2+1</f>
        <v>2018</v>
      </c>
    </row>
    <row r="3" spans="1:8" x14ac:dyDescent="0.2">
      <c r="A3" s="170"/>
      <c r="B3" s="170"/>
      <c r="C3" s="170"/>
      <c r="D3" s="170"/>
      <c r="E3" s="170"/>
      <c r="F3" s="170"/>
      <c r="G3" s="170"/>
      <c r="H3" s="170"/>
    </row>
    <row r="4" spans="1:8" x14ac:dyDescent="0.2">
      <c r="A4" s="25" t="s">
        <v>363</v>
      </c>
      <c r="B4" s="25"/>
      <c r="C4" s="25"/>
      <c r="D4" s="25"/>
      <c r="E4" s="25"/>
      <c r="F4" s="25"/>
      <c r="G4" s="25"/>
      <c r="H4" s="170"/>
    </row>
    <row r="5" spans="1:8" x14ac:dyDescent="0.2">
      <c r="A5" s="207" t="s">
        <v>157</v>
      </c>
      <c r="B5" s="80" t="s">
        <v>117</v>
      </c>
      <c r="C5" s="232">
        <f>'Прогнозные отчеты'!C49</f>
        <v>96373.118802022698</v>
      </c>
      <c r="D5" s="232">
        <f>'Прогнозные отчеты'!D49</f>
        <v>291214.84782289906</v>
      </c>
      <c r="E5" s="232">
        <f>'Прогнозные отчеты'!E49</f>
        <v>603375.70716760703</v>
      </c>
      <c r="F5" s="232">
        <f>'Прогнозные отчеты'!F49</f>
        <v>955241.27754120529</v>
      </c>
      <c r="G5" s="232">
        <f>'Прогнозные отчеты'!G49</f>
        <v>1119273.5975682978</v>
      </c>
      <c r="H5" s="170"/>
    </row>
    <row r="6" spans="1:8" x14ac:dyDescent="0.2">
      <c r="A6" s="207" t="s">
        <v>373</v>
      </c>
      <c r="B6" s="80" t="s">
        <v>117</v>
      </c>
      <c r="C6" s="236" t="s">
        <v>312</v>
      </c>
      <c r="D6" s="237">
        <f>('Прогнозные отчеты'!C12+'Прогнозные отчеты'!D12)/2</f>
        <v>16649.874602595566</v>
      </c>
      <c r="E6" s="237">
        <f>('Прогнозные отчеты'!D12+'Прогнозные отчеты'!E12)/2</f>
        <v>37056.249294303423</v>
      </c>
      <c r="F6" s="237">
        <f>('Прогнозные отчеты'!E12+'Прогнозные отчеты'!F12)/2</f>
        <v>54648.400637611107</v>
      </c>
      <c r="G6" s="237">
        <f>('Прогнозные отчеты'!F12+'Прогнозные отчеты'!G12)/2</f>
        <v>71768.943343590421</v>
      </c>
      <c r="H6" s="170"/>
    </row>
    <row r="7" spans="1:8" s="161" customFormat="1" x14ac:dyDescent="0.2">
      <c r="A7" s="167" t="s">
        <v>364</v>
      </c>
      <c r="B7" s="167"/>
      <c r="C7" s="233" t="s">
        <v>312</v>
      </c>
      <c r="D7" s="233">
        <f>IF(D6=0,"-",D5/D6)</f>
        <v>17.490512978247974</v>
      </c>
      <c r="E7" s="233">
        <f>IF(E6=0,"-",E5/E6)</f>
        <v>16.282697754312728</v>
      </c>
      <c r="F7" s="233">
        <f>IF(F6=0,"-",F5/F6)</f>
        <v>17.479766404797068</v>
      </c>
      <c r="G7" s="233">
        <f>IF(G6=0,"-",G5/G6)</f>
        <v>15.595514513984529</v>
      </c>
      <c r="H7" s="240"/>
    </row>
    <row r="8" spans="1:8" x14ac:dyDescent="0.2">
      <c r="A8" s="170"/>
      <c r="B8" s="170"/>
      <c r="C8" s="170"/>
      <c r="D8" s="170"/>
      <c r="E8" s="170"/>
      <c r="F8" s="170"/>
      <c r="G8" s="170"/>
      <c r="H8" s="170"/>
    </row>
    <row r="9" spans="1:8" x14ac:dyDescent="0.2">
      <c r="A9" s="85" t="s">
        <v>365</v>
      </c>
      <c r="B9" s="25"/>
      <c r="C9" s="25"/>
      <c r="D9" s="25"/>
      <c r="E9" s="25"/>
      <c r="F9" s="25"/>
      <c r="G9" s="25"/>
      <c r="H9" s="170"/>
    </row>
    <row r="10" spans="1:8" x14ac:dyDescent="0.2">
      <c r="A10" s="207" t="s">
        <v>374</v>
      </c>
      <c r="B10" s="80" t="s">
        <v>117</v>
      </c>
      <c r="C10" s="232">
        <f>-'Прогнозные отчеты'!C51</f>
        <v>41666.126915726789</v>
      </c>
      <c r="D10" s="232">
        <f>-'Прогнозные отчеты'!D51</f>
        <v>155363.47537654781</v>
      </c>
      <c r="E10" s="232">
        <f>-'Прогнозные отчеты'!E51</f>
        <v>314255.21719737828</v>
      </c>
      <c r="F10" s="232">
        <f>-'Прогнозные отчеты'!F51</f>
        <v>453223.84539003874</v>
      </c>
      <c r="G10" s="232">
        <f>-'Прогнозные отчеты'!G51</f>
        <v>581792.53519347904</v>
      </c>
      <c r="H10" s="170"/>
    </row>
    <row r="11" spans="1:8" x14ac:dyDescent="0.2">
      <c r="A11" s="207" t="s">
        <v>373</v>
      </c>
      <c r="B11" s="80" t="s">
        <v>117</v>
      </c>
      <c r="C11" s="236" t="s">
        <v>312</v>
      </c>
      <c r="D11" s="237">
        <f>('Прогнозные отчеты'!C12+'Прогнозные отчеты'!D12)/2</f>
        <v>16649.874602595566</v>
      </c>
      <c r="E11" s="237">
        <f>('Прогнозные отчеты'!D12+'Прогнозные отчеты'!E12)/2</f>
        <v>37056.249294303423</v>
      </c>
      <c r="F11" s="237">
        <f>('Прогнозные отчеты'!E12+'Прогнозные отчеты'!F12)/2</f>
        <v>54648.400637611107</v>
      </c>
      <c r="G11" s="237">
        <f>('Прогнозные отчеты'!F12+'Прогнозные отчеты'!G12)/2</f>
        <v>71768.943343590421</v>
      </c>
      <c r="H11" s="170"/>
    </row>
    <row r="12" spans="1:8" s="161" customFormat="1" x14ac:dyDescent="0.2">
      <c r="A12" s="167" t="s">
        <v>364</v>
      </c>
      <c r="B12" s="167"/>
      <c r="C12" s="233" t="s">
        <v>312</v>
      </c>
      <c r="D12" s="233">
        <f>IF(D11=0,"-",D10/D11)</f>
        <v>9.3312099391023668</v>
      </c>
      <c r="E12" s="233">
        <f>IF(E11=0,"-",E10/E11)</f>
        <v>8.480491770808765</v>
      </c>
      <c r="F12" s="233">
        <f>IF(F11=0,"-",F10/F11)</f>
        <v>8.2934512282526498</v>
      </c>
      <c r="G12" s="233">
        <f>IF(G11=0,"-",G10/G11)</f>
        <v>8.1064665033198935</v>
      </c>
      <c r="H12" s="240"/>
    </row>
    <row r="13" spans="1:8" x14ac:dyDescent="0.2">
      <c r="A13" s="170"/>
      <c r="B13" s="170"/>
      <c r="C13" s="170"/>
      <c r="D13" s="170"/>
      <c r="E13" s="170"/>
      <c r="F13" s="170"/>
      <c r="G13" s="170"/>
      <c r="H13" s="170"/>
    </row>
    <row r="14" spans="1:8" x14ac:dyDescent="0.2">
      <c r="A14" s="25" t="s">
        <v>366</v>
      </c>
      <c r="B14" s="25"/>
      <c r="C14" s="25"/>
      <c r="D14" s="25"/>
      <c r="E14" s="25"/>
      <c r="F14" s="25"/>
      <c r="G14" s="25"/>
      <c r="H14" s="170"/>
    </row>
    <row r="15" spans="1:8" x14ac:dyDescent="0.2">
      <c r="A15" s="207" t="s">
        <v>373</v>
      </c>
      <c r="B15" s="80" t="s">
        <v>117</v>
      </c>
      <c r="C15" s="236" t="s">
        <v>312</v>
      </c>
      <c r="D15" s="237">
        <f>('Прогнозные отчеты'!C12+'Прогнозные отчеты'!D12)/2</f>
        <v>16649.874602595566</v>
      </c>
      <c r="E15" s="237">
        <f>('Прогнозные отчеты'!D12+'Прогнозные отчеты'!E12)/2</f>
        <v>37056.249294303423</v>
      </c>
      <c r="F15" s="237">
        <f>('Прогнозные отчеты'!E12+'Прогнозные отчеты'!F12)/2</f>
        <v>54648.400637611107</v>
      </c>
      <c r="G15" s="237">
        <f>('Прогнозные отчеты'!F12+'Прогнозные отчеты'!G12)/2</f>
        <v>71768.943343590421</v>
      </c>
      <c r="H15" s="170"/>
    </row>
    <row r="16" spans="1:8" x14ac:dyDescent="0.2">
      <c r="A16" s="207" t="s">
        <v>374</v>
      </c>
      <c r="B16" s="80" t="s">
        <v>117</v>
      </c>
      <c r="C16" s="232">
        <f>-'Прогнозные отчеты'!C51</f>
        <v>41666.126915726789</v>
      </c>
      <c r="D16" s="232">
        <f>-'Прогнозные отчеты'!D51</f>
        <v>155363.47537654781</v>
      </c>
      <c r="E16" s="232">
        <f>-'Прогнозные отчеты'!E51</f>
        <v>314255.21719737828</v>
      </c>
      <c r="F16" s="232">
        <f>-'Прогнозные отчеты'!F51</f>
        <v>453223.84539003874</v>
      </c>
      <c r="G16" s="232">
        <f>-'Прогнозные отчеты'!G51</f>
        <v>581792.53519347904</v>
      </c>
      <c r="H16" s="170"/>
    </row>
    <row r="17" spans="1:8" s="161" customFormat="1" ht="12" customHeight="1" x14ac:dyDescent="0.2">
      <c r="A17" s="167" t="s">
        <v>483</v>
      </c>
      <c r="B17" s="80" t="s">
        <v>362</v>
      </c>
      <c r="C17" s="233" t="s">
        <v>312</v>
      </c>
      <c r="D17" s="233">
        <f>IF(D16=0,"-",D15*365/D16)</f>
        <v>39.116042011922829</v>
      </c>
      <c r="E17" s="233">
        <f>IF(E16=0,"-",E15*365/E16)</f>
        <v>43.039956863868376</v>
      </c>
      <c r="F17" s="233">
        <f>IF(F16=0,"-",F15*365/F16)</f>
        <v>44.010628380689468</v>
      </c>
      <c r="G17" s="233">
        <f>IF(G16=0,"-",G15*365/G16)</f>
        <v>45.02578279334395</v>
      </c>
      <c r="H17" s="240"/>
    </row>
    <row r="18" spans="1:8" x14ac:dyDescent="0.2">
      <c r="A18" s="170"/>
      <c r="B18" s="170"/>
      <c r="C18" s="170"/>
      <c r="D18" s="170"/>
      <c r="E18" s="170"/>
      <c r="F18" s="170"/>
      <c r="G18" s="170"/>
      <c r="H18" s="170"/>
    </row>
    <row r="19" spans="1:8" x14ac:dyDescent="0.2">
      <c r="A19" s="25" t="s">
        <v>367</v>
      </c>
      <c r="B19" s="25"/>
      <c r="C19" s="25"/>
      <c r="D19" s="25"/>
      <c r="E19" s="25"/>
      <c r="F19" s="25"/>
      <c r="G19" s="25"/>
      <c r="H19" s="170"/>
    </row>
    <row r="20" spans="1:8" x14ac:dyDescent="0.2">
      <c r="A20" s="207" t="s">
        <v>157</v>
      </c>
      <c r="B20" s="80" t="s">
        <v>117</v>
      </c>
      <c r="C20" s="232">
        <f>'Прогнозные отчеты'!C49</f>
        <v>96373.118802022698</v>
      </c>
      <c r="D20" s="232">
        <f>'Прогнозные отчеты'!D49</f>
        <v>291214.84782289906</v>
      </c>
      <c r="E20" s="232">
        <f>'Прогнозные отчеты'!E49</f>
        <v>603375.70716760703</v>
      </c>
      <c r="F20" s="232">
        <f>'Прогнозные отчеты'!F49</f>
        <v>955241.27754120529</v>
      </c>
      <c r="G20" s="232">
        <f>'Прогнозные отчеты'!G49</f>
        <v>1119273.5975682978</v>
      </c>
      <c r="H20" s="170"/>
    </row>
    <row r="21" spans="1:8" x14ac:dyDescent="0.2">
      <c r="A21" s="207" t="s">
        <v>484</v>
      </c>
      <c r="B21" s="80" t="s">
        <v>117</v>
      </c>
      <c r="C21" s="236" t="s">
        <v>312</v>
      </c>
      <c r="D21" s="237">
        <f>('Прогнозные отчеты'!C13+'Прогнозные отчеты'!D13)/2</f>
        <v>11944.361145522676</v>
      </c>
      <c r="E21" s="237">
        <f>('Прогнозные отчеты'!D13+'Прогнозные отчеты'!E13)/2</f>
        <v>65135.729611597089</v>
      </c>
      <c r="F21" s="237">
        <f>('Прогнозные отчеты'!E13+'Прогнозные отчеты'!F13)/2</f>
        <v>150238.10833733168</v>
      </c>
      <c r="G21" s="237">
        <f>('Прогнозные отчеты'!F13+'Прогнозные отчеты'!G13)/2</f>
        <v>209647.54626982566</v>
      </c>
      <c r="H21" s="170"/>
    </row>
    <row r="22" spans="1:8" s="161" customFormat="1" x14ac:dyDescent="0.2">
      <c r="A22" s="167" t="s">
        <v>367</v>
      </c>
      <c r="B22" s="167"/>
      <c r="C22" s="233" t="s">
        <v>312</v>
      </c>
      <c r="D22" s="233">
        <f>IF(D21=0,"-",D20/D21)</f>
        <v>24.380947986662346</v>
      </c>
      <c r="E22" s="233">
        <f>IF(E21=0,"-",E20/E21)</f>
        <v>9.2633599218972904</v>
      </c>
      <c r="F22" s="233">
        <f>IF(F21=0,"-",F20/F21)</f>
        <v>6.3581822755408304</v>
      </c>
      <c r="G22" s="233">
        <f>IF(G21=0,"-",G20/G21)</f>
        <v>5.3388347132274241</v>
      </c>
      <c r="H22" s="240"/>
    </row>
    <row r="23" spans="1:8" x14ac:dyDescent="0.2">
      <c r="A23" s="170"/>
      <c r="B23" s="170"/>
      <c r="C23" s="170"/>
      <c r="D23" s="170"/>
      <c r="E23" s="170"/>
      <c r="F23" s="170"/>
      <c r="G23" s="170"/>
      <c r="H23" s="170"/>
    </row>
    <row r="24" spans="1:8" x14ac:dyDescent="0.2">
      <c r="A24" s="25" t="s">
        <v>368</v>
      </c>
      <c r="B24" s="25"/>
      <c r="C24" s="25"/>
      <c r="D24" s="25"/>
      <c r="E24" s="25"/>
      <c r="F24" s="25"/>
      <c r="G24" s="25"/>
      <c r="H24" s="170"/>
    </row>
    <row r="25" spans="1:8" x14ac:dyDescent="0.2">
      <c r="A25" s="207" t="s">
        <v>484</v>
      </c>
      <c r="B25" s="80" t="s">
        <v>117</v>
      </c>
      <c r="C25" s="236" t="s">
        <v>312</v>
      </c>
      <c r="D25" s="237">
        <f>('Прогнозные отчеты'!C13+'Прогнозные отчеты'!D13)/2</f>
        <v>11944.361145522676</v>
      </c>
      <c r="E25" s="237">
        <f>('Прогнозные отчеты'!D13+'Прогнозные отчеты'!E13)/2</f>
        <v>65135.729611597089</v>
      </c>
      <c r="F25" s="237">
        <f>('Прогнозные отчеты'!E13+'Прогнозные отчеты'!F13)/2</f>
        <v>150238.10833733168</v>
      </c>
      <c r="G25" s="237">
        <f>('Прогнозные отчеты'!F13+'Прогнозные отчеты'!G13)/2</f>
        <v>209647.54626982566</v>
      </c>
      <c r="H25" s="170"/>
    </row>
    <row r="26" spans="1:8" x14ac:dyDescent="0.2">
      <c r="A26" s="207" t="s">
        <v>157</v>
      </c>
      <c r="B26" s="80" t="s">
        <v>117</v>
      </c>
      <c r="C26" s="232">
        <f>'Прогнозные отчеты'!C49</f>
        <v>96373.118802022698</v>
      </c>
      <c r="D26" s="232">
        <f>'Прогнозные отчеты'!D49</f>
        <v>291214.84782289906</v>
      </c>
      <c r="E26" s="232">
        <f>'Прогнозные отчеты'!E49</f>
        <v>603375.70716760703</v>
      </c>
      <c r="F26" s="232">
        <f>'Прогнозные отчеты'!F49</f>
        <v>955241.27754120529</v>
      </c>
      <c r="G26" s="232">
        <f>'Прогнозные отчеты'!G49</f>
        <v>1119273.5975682978</v>
      </c>
      <c r="H26" s="170"/>
    </row>
    <row r="27" spans="1:8" s="161" customFormat="1" x14ac:dyDescent="0.2">
      <c r="A27" s="167" t="s">
        <v>485</v>
      </c>
      <c r="B27" s="80" t="s">
        <v>362</v>
      </c>
      <c r="C27" s="233" t="s">
        <v>312</v>
      </c>
      <c r="D27" s="233">
        <f>IF(D26=0,"-",D25*365/D26)</f>
        <v>14.970705823238461</v>
      </c>
      <c r="E27" s="233">
        <f>IF(E26=0,"-",E25*365/E26)</f>
        <v>39.402549731139231</v>
      </c>
      <c r="F27" s="233">
        <f>IF(F26=0,"-",F25*365/F26)</f>
        <v>57.406344169167895</v>
      </c>
      <c r="G27" s="233">
        <f>IF(G26=0,"-",G25*365/G26)</f>
        <v>68.366978864447887</v>
      </c>
      <c r="H27" s="240"/>
    </row>
    <row r="28" spans="1:8" x14ac:dyDescent="0.2">
      <c r="A28" s="170"/>
      <c r="B28" s="170"/>
      <c r="C28" s="170"/>
      <c r="D28" s="170"/>
      <c r="E28" s="170"/>
      <c r="F28" s="170"/>
      <c r="G28" s="170"/>
      <c r="H28" s="170"/>
    </row>
    <row r="29" spans="1:8" x14ac:dyDescent="0.2">
      <c r="A29" s="25" t="s">
        <v>369</v>
      </c>
      <c r="B29" s="25"/>
      <c r="C29" s="25"/>
      <c r="D29" s="25"/>
      <c r="E29" s="25"/>
      <c r="F29" s="25"/>
      <c r="G29" s="25"/>
      <c r="H29" s="170"/>
    </row>
    <row r="30" spans="1:8" x14ac:dyDescent="0.2">
      <c r="A30" s="207" t="s">
        <v>374</v>
      </c>
      <c r="B30" s="80" t="s">
        <v>117</v>
      </c>
      <c r="C30" s="232">
        <f>-'Прогнозные отчеты'!C51</f>
        <v>41666.126915726789</v>
      </c>
      <c r="D30" s="232">
        <f>-'Прогнозные отчеты'!D51</f>
        <v>155363.47537654781</v>
      </c>
      <c r="E30" s="232">
        <f>-'Прогнозные отчеты'!E51</f>
        <v>314255.21719737828</v>
      </c>
      <c r="F30" s="232">
        <f>-'Прогнозные отчеты'!F51</f>
        <v>453223.84539003874</v>
      </c>
      <c r="G30" s="232">
        <f>-'Прогнозные отчеты'!G51</f>
        <v>581792.53519347904</v>
      </c>
      <c r="H30" s="170"/>
    </row>
    <row r="31" spans="1:8" x14ac:dyDescent="0.2">
      <c r="A31" s="207" t="s">
        <v>486</v>
      </c>
      <c r="B31" s="80" t="s">
        <v>117</v>
      </c>
      <c r="C31" s="236" t="s">
        <v>312</v>
      </c>
      <c r="D31" s="237">
        <f>('Прогнозные отчеты'!C35+'Прогнозные отчеты'!D35)/2</f>
        <v>0</v>
      </c>
      <c r="E31" s="237">
        <f>('Прогнозные отчеты'!D35+'Прогнозные отчеты'!E35)/2</f>
        <v>0</v>
      </c>
      <c r="F31" s="237">
        <f>('Прогнозные отчеты'!E35+'Прогнозные отчеты'!F35)/2</f>
        <v>0</v>
      </c>
      <c r="G31" s="237">
        <f>('Прогнозные отчеты'!F35+'Прогнозные отчеты'!G35)/2</f>
        <v>0</v>
      </c>
      <c r="H31" s="170"/>
    </row>
    <row r="32" spans="1:8" s="161" customFormat="1" x14ac:dyDescent="0.2">
      <c r="A32" s="167" t="s">
        <v>369</v>
      </c>
      <c r="B32" s="167"/>
      <c r="C32" s="233" t="s">
        <v>312</v>
      </c>
      <c r="D32" s="233" t="str">
        <f>IF(D31=0,"-",D30/D31)</f>
        <v>-</v>
      </c>
      <c r="E32" s="233" t="str">
        <f>IF(E31=0,"-",E30/E31)</f>
        <v>-</v>
      </c>
      <c r="F32" s="233" t="str">
        <f>IF(F31=0,"-",F30/F31)</f>
        <v>-</v>
      </c>
      <c r="G32" s="233" t="str">
        <f>IF(G31=0,"-",G30/G31)</f>
        <v>-</v>
      </c>
      <c r="H32" s="240"/>
    </row>
    <row r="33" spans="1:8" x14ac:dyDescent="0.2">
      <c r="A33" s="170"/>
      <c r="B33" s="170"/>
      <c r="C33" s="170"/>
      <c r="D33" s="170"/>
      <c r="E33" s="170"/>
      <c r="F33" s="170"/>
      <c r="G33" s="170"/>
      <c r="H33" s="170"/>
    </row>
    <row r="34" spans="1:8" x14ac:dyDescent="0.2">
      <c r="A34" s="25" t="s">
        <v>370</v>
      </c>
      <c r="B34" s="25"/>
      <c r="C34" s="25"/>
      <c r="D34" s="25"/>
      <c r="E34" s="25"/>
      <c r="F34" s="25"/>
      <c r="G34" s="25"/>
      <c r="H34" s="170"/>
    </row>
    <row r="35" spans="1:8" x14ac:dyDescent="0.2">
      <c r="A35" s="207" t="s">
        <v>486</v>
      </c>
      <c r="B35" s="80" t="s">
        <v>117</v>
      </c>
      <c r="C35" s="236" t="s">
        <v>312</v>
      </c>
      <c r="D35" s="237">
        <f>('Прогнозные отчеты'!C35+'Прогнозные отчеты'!D35)/2</f>
        <v>0</v>
      </c>
      <c r="E35" s="237">
        <f>('Прогнозные отчеты'!D35+'Прогнозные отчеты'!E35)/2</f>
        <v>0</v>
      </c>
      <c r="F35" s="237">
        <f>('Прогнозные отчеты'!E35+'Прогнозные отчеты'!F35)/2</f>
        <v>0</v>
      </c>
      <c r="G35" s="237">
        <f>('Прогнозные отчеты'!F35+'Прогнозные отчеты'!G35)/2</f>
        <v>0</v>
      </c>
      <c r="H35" s="170"/>
    </row>
    <row r="36" spans="1:8" x14ac:dyDescent="0.2">
      <c r="A36" s="207" t="s">
        <v>374</v>
      </c>
      <c r="B36" s="80" t="s">
        <v>117</v>
      </c>
      <c r="C36" s="232">
        <f>-'Прогнозные отчеты'!C51</f>
        <v>41666.126915726789</v>
      </c>
      <c r="D36" s="232">
        <f>-'Прогнозные отчеты'!D51</f>
        <v>155363.47537654781</v>
      </c>
      <c r="E36" s="232">
        <f>-'Прогнозные отчеты'!E51</f>
        <v>314255.21719737828</v>
      </c>
      <c r="F36" s="232">
        <f>-'Прогнозные отчеты'!F51</f>
        <v>453223.84539003874</v>
      </c>
      <c r="G36" s="232">
        <f>-'Прогнозные отчеты'!G51</f>
        <v>581792.53519347904</v>
      </c>
      <c r="H36" s="170"/>
    </row>
    <row r="37" spans="1:8" s="161" customFormat="1" x14ac:dyDescent="0.2">
      <c r="A37" s="167" t="s">
        <v>487</v>
      </c>
      <c r="B37" s="80" t="s">
        <v>362</v>
      </c>
      <c r="C37" s="233" t="s">
        <v>312</v>
      </c>
      <c r="D37" s="233">
        <f>IF(D36=0,"-",D35*365/D36)</f>
        <v>0</v>
      </c>
      <c r="E37" s="233">
        <f>IF(E36=0,"-",E35*365/E36)</f>
        <v>0</v>
      </c>
      <c r="F37" s="233">
        <f>IF(F36=0,"-",F35*365/F36)</f>
        <v>0</v>
      </c>
      <c r="G37" s="233">
        <f>IF(G36=0,"-",G35*365/G36)</f>
        <v>0</v>
      </c>
      <c r="H37" s="240"/>
    </row>
    <row r="38" spans="1:8" x14ac:dyDescent="0.2">
      <c r="A38" s="170"/>
      <c r="B38" s="170"/>
      <c r="C38" s="170"/>
      <c r="D38" s="170"/>
      <c r="E38" s="170"/>
      <c r="F38" s="170"/>
      <c r="G38" s="170"/>
      <c r="H38" s="170"/>
    </row>
    <row r="39" spans="1:8" x14ac:dyDescent="0.2">
      <c r="A39" s="25" t="s">
        <v>371</v>
      </c>
      <c r="B39" s="234"/>
      <c r="C39" s="235"/>
      <c r="D39" s="235"/>
      <c r="E39" s="235"/>
      <c r="F39" s="235"/>
      <c r="G39" s="235"/>
      <c r="H39" s="170"/>
    </row>
    <row r="40" spans="1:8" x14ac:dyDescent="0.2">
      <c r="A40" s="207" t="s">
        <v>488</v>
      </c>
      <c r="B40" s="80" t="s">
        <v>362</v>
      </c>
      <c r="C40" s="250" t="str">
        <f>C17</f>
        <v>-</v>
      </c>
      <c r="D40" s="250">
        <f>D17</f>
        <v>39.116042011922829</v>
      </c>
      <c r="E40" s="250">
        <f>E17</f>
        <v>43.039956863868376</v>
      </c>
      <c r="F40" s="250">
        <f>F17</f>
        <v>44.010628380689468</v>
      </c>
      <c r="G40" s="250">
        <f>G17</f>
        <v>45.02578279334395</v>
      </c>
      <c r="H40" s="170"/>
    </row>
    <row r="41" spans="1:8" x14ac:dyDescent="0.2">
      <c r="A41" s="207" t="s">
        <v>485</v>
      </c>
      <c r="B41" s="80" t="s">
        <v>362</v>
      </c>
      <c r="C41" s="250" t="str">
        <f>C27</f>
        <v>-</v>
      </c>
      <c r="D41" s="250">
        <f>D27</f>
        <v>14.970705823238461</v>
      </c>
      <c r="E41" s="250">
        <f>E27</f>
        <v>39.402549731139231</v>
      </c>
      <c r="F41" s="250">
        <f>F27</f>
        <v>57.406344169167895</v>
      </c>
      <c r="G41" s="250">
        <f>G27</f>
        <v>68.366978864447887</v>
      </c>
      <c r="H41" s="170"/>
    </row>
    <row r="42" spans="1:8" x14ac:dyDescent="0.2">
      <c r="A42" s="207" t="s">
        <v>487</v>
      </c>
      <c r="B42" s="80" t="s">
        <v>362</v>
      </c>
      <c r="C42" s="250" t="str">
        <f>C37</f>
        <v>-</v>
      </c>
      <c r="D42" s="250">
        <f>IF(D37="-","-",-D37)</f>
        <v>0</v>
      </c>
      <c r="E42" s="250">
        <f>IF(E37="-","-",-E37)</f>
        <v>0</v>
      </c>
      <c r="F42" s="250">
        <f>IF(F37="-","-",-F37)</f>
        <v>0</v>
      </c>
      <c r="G42" s="250">
        <f>IF(G37="-","-",-G37)</f>
        <v>0</v>
      </c>
      <c r="H42" s="170"/>
    </row>
    <row r="43" spans="1:8" s="161" customFormat="1" x14ac:dyDescent="0.2">
      <c r="A43" s="171" t="s">
        <v>489</v>
      </c>
      <c r="B43" s="80" t="s">
        <v>362</v>
      </c>
      <c r="C43" s="233" t="s">
        <v>312</v>
      </c>
      <c r="D43" s="253">
        <f>IF(D40="-","-",D40+D41)</f>
        <v>54.08674783516129</v>
      </c>
      <c r="E43" s="253">
        <f>IF(E40="-","-",E40+E41)</f>
        <v>82.442506595007615</v>
      </c>
      <c r="F43" s="253">
        <f>IF(F40="-","-",F40+F41)</f>
        <v>101.41697254985736</v>
      </c>
      <c r="G43" s="253">
        <f>IF(G40="-","-",G40+G41)</f>
        <v>113.39276165779184</v>
      </c>
      <c r="H43" s="240"/>
    </row>
    <row r="44" spans="1:8" s="161" customFormat="1" x14ac:dyDescent="0.2">
      <c r="A44" s="167" t="s">
        <v>490</v>
      </c>
      <c r="B44" s="80" t="s">
        <v>362</v>
      </c>
      <c r="C44" s="233" t="s">
        <v>312</v>
      </c>
      <c r="D44" s="253">
        <f>IF(D42="-","-",D43+D42)</f>
        <v>54.08674783516129</v>
      </c>
      <c r="E44" s="253">
        <f>IF(E42="-","-",E43+E42)</f>
        <v>82.442506595007615</v>
      </c>
      <c r="F44" s="253">
        <f>IF(F42="-","-",F43+F42)</f>
        <v>101.41697254985736</v>
      </c>
      <c r="G44" s="253">
        <f>IF(G42="-","-",G43+G42)</f>
        <v>113.39276165779184</v>
      </c>
      <c r="H44" s="240"/>
    </row>
    <row r="45" spans="1:8" x14ac:dyDescent="0.2">
      <c r="A45" s="170"/>
      <c r="B45" s="239"/>
      <c r="C45" s="170"/>
      <c r="D45" s="170"/>
      <c r="E45" s="170"/>
      <c r="F45" s="170"/>
      <c r="G45" s="170"/>
      <c r="H45" s="170"/>
    </row>
    <row r="46" spans="1:8" x14ac:dyDescent="0.2">
      <c r="A46" s="25" t="s">
        <v>372</v>
      </c>
      <c r="B46" s="25"/>
      <c r="C46" s="25"/>
      <c r="D46" s="25"/>
      <c r="E46" s="25"/>
      <c r="F46" s="25"/>
      <c r="G46" s="25"/>
      <c r="H46" s="170"/>
    </row>
    <row r="47" spans="1:8" x14ac:dyDescent="0.2">
      <c r="A47" s="207" t="s">
        <v>157</v>
      </c>
      <c r="B47" s="80" t="s">
        <v>117</v>
      </c>
      <c r="C47" s="232">
        <f>'Прогнозные отчеты'!C49</f>
        <v>96373.118802022698</v>
      </c>
      <c r="D47" s="232">
        <f>'Прогнозные отчеты'!D49</f>
        <v>291214.84782289906</v>
      </c>
      <c r="E47" s="232">
        <f>'Прогнозные отчеты'!E49</f>
        <v>603375.70716760703</v>
      </c>
      <c r="F47" s="232">
        <f>'Прогнозные отчеты'!F49</f>
        <v>955241.27754120529</v>
      </c>
      <c r="G47" s="232">
        <f>'Прогнозные отчеты'!G49</f>
        <v>1119273.5975682978</v>
      </c>
      <c r="H47" s="170"/>
    </row>
    <row r="48" spans="1:8" x14ac:dyDescent="0.2">
      <c r="A48" s="207" t="s">
        <v>491</v>
      </c>
      <c r="B48" s="80" t="s">
        <v>117</v>
      </c>
      <c r="C48" s="236" t="s">
        <v>312</v>
      </c>
      <c r="D48" s="237">
        <f>('Прогнозные отчеты'!C9+'Прогнозные отчеты'!D9)/2</f>
        <v>797.90340909090901</v>
      </c>
      <c r="E48" s="237">
        <f>('Прогнозные отчеты'!D9+'Прогнозные отчеты'!E9)/2</f>
        <v>1334.056818181818</v>
      </c>
      <c r="F48" s="237">
        <f>('Прогнозные отчеты'!E9+'Прогнозные отчеты'!F9)/2</f>
        <v>1553.5056818181815</v>
      </c>
      <c r="G48" s="237">
        <f>('Прогнозные отчеты'!F9+'Прогнозные отчеты'!G9)/2</f>
        <v>1538.9715909090905</v>
      </c>
      <c r="H48" s="170"/>
    </row>
    <row r="49" spans="1:8" s="161" customFormat="1" x14ac:dyDescent="0.2">
      <c r="A49" s="167" t="s">
        <v>372</v>
      </c>
      <c r="B49" s="167"/>
      <c r="C49" s="233" t="s">
        <v>312</v>
      </c>
      <c r="D49" s="233">
        <f>IF(D48=0,"-",D47/D48)</f>
        <v>364.97506403023721</v>
      </c>
      <c r="E49" s="233">
        <f>IF(E48=0,"-",E47/E48)</f>
        <v>452.28636362725985</v>
      </c>
      <c r="F49" s="233">
        <f>IF(F48=0,"-",F47/F48)</f>
        <v>614.89397092079923</v>
      </c>
      <c r="G49" s="233">
        <f>IF(G48=0,"-",G47/G48)</f>
        <v>727.28671807848536</v>
      </c>
      <c r="H49" s="240"/>
    </row>
    <row r="50" spans="1:8" x14ac:dyDescent="0.2">
      <c r="A50" s="170"/>
      <c r="B50" s="170"/>
      <c r="C50" s="170"/>
      <c r="D50" s="170"/>
      <c r="E50" s="170"/>
      <c r="F50" s="170"/>
      <c r="G50" s="170"/>
      <c r="H50" s="170"/>
    </row>
    <row r="51" spans="1:8" x14ac:dyDescent="0.2">
      <c r="A51" s="25" t="s">
        <v>425</v>
      </c>
      <c r="B51" s="25"/>
      <c r="C51" s="25"/>
      <c r="D51" s="25"/>
      <c r="E51" s="25"/>
      <c r="F51" s="25"/>
      <c r="G51" s="25"/>
      <c r="H51" s="170"/>
    </row>
    <row r="52" spans="1:8" x14ac:dyDescent="0.2">
      <c r="A52" s="207" t="s">
        <v>157</v>
      </c>
      <c r="B52" s="80" t="s">
        <v>117</v>
      </c>
      <c r="C52" s="232">
        <f>'Прогнозные отчеты'!C49</f>
        <v>96373.118802022698</v>
      </c>
      <c r="D52" s="232">
        <f>'Прогнозные отчеты'!D49</f>
        <v>291214.84782289906</v>
      </c>
      <c r="E52" s="232">
        <f>'Прогнозные отчеты'!E49</f>
        <v>603375.70716760703</v>
      </c>
      <c r="F52" s="232">
        <f>'Прогнозные отчеты'!F49</f>
        <v>955241.27754120529</v>
      </c>
      <c r="G52" s="232">
        <f>'Прогнозные отчеты'!G49</f>
        <v>1119273.5975682978</v>
      </c>
      <c r="H52" s="170"/>
    </row>
    <row r="53" spans="1:8" x14ac:dyDescent="0.2">
      <c r="A53" s="207" t="s">
        <v>492</v>
      </c>
      <c r="B53" s="80" t="s">
        <v>117</v>
      </c>
      <c r="C53" s="236" t="s">
        <v>312</v>
      </c>
      <c r="D53" s="237">
        <f>('Прогнозные отчеты'!C19+'Прогнозные отчеты'!D19)/2</f>
        <v>102433.87055078713</v>
      </c>
      <c r="E53" s="237">
        <f>('Прогнозные отчеты'!D19+'Прогнозные отчеты'!E19)/2</f>
        <v>253367.53552540662</v>
      </c>
      <c r="F53" s="237">
        <f>('Прогнозные отчеты'!E19+'Прогнозные отчеты'!F19)/2</f>
        <v>551158.68592022476</v>
      </c>
      <c r="G53" s="237">
        <f>('Прогнозные отчеты'!F19+'Прогнозные отчеты'!G19)/2</f>
        <v>943522.18293527071</v>
      </c>
      <c r="H53" s="170"/>
    </row>
    <row r="54" spans="1:8" s="161" customFormat="1" x14ac:dyDescent="0.2">
      <c r="A54" s="167" t="s">
        <v>425</v>
      </c>
      <c r="B54" s="167"/>
      <c r="C54" s="233" t="s">
        <v>312</v>
      </c>
      <c r="D54" s="233">
        <f>IF(D53=0,"-",D52/D53)</f>
        <v>2.8429546424150156</v>
      </c>
      <c r="E54" s="233">
        <f>IF(E53=0,"-",E52/E53)</f>
        <v>2.3814246995629915</v>
      </c>
      <c r="F54" s="233">
        <f>IF(F53=0,"-",F52/F53)</f>
        <v>1.7331510905000376</v>
      </c>
      <c r="G54" s="233">
        <f>IF(G53=0,"-",G52/G53)</f>
        <v>1.1862716296571527</v>
      </c>
      <c r="H54" s="240"/>
    </row>
    <row r="55" spans="1:8" x14ac:dyDescent="0.2">
      <c r="A55" s="170"/>
      <c r="B55" s="170"/>
      <c r="C55" s="170"/>
      <c r="D55" s="170"/>
      <c r="E55" s="170"/>
      <c r="F55" s="170"/>
      <c r="G55" s="170"/>
      <c r="H55" s="170"/>
    </row>
    <row r="56" spans="1:8" x14ac:dyDescent="0.2">
      <c r="A56" s="25" t="s">
        <v>495</v>
      </c>
      <c r="B56" s="25"/>
      <c r="C56" s="25"/>
      <c r="D56" s="25"/>
      <c r="E56" s="25"/>
      <c r="F56" s="25"/>
      <c r="G56" s="25"/>
      <c r="H56" s="170"/>
    </row>
    <row r="57" spans="1:8" x14ac:dyDescent="0.2">
      <c r="A57" s="207" t="s">
        <v>157</v>
      </c>
      <c r="B57" s="80" t="s">
        <v>117</v>
      </c>
      <c r="C57" s="232">
        <f>'Прогнозные отчеты'!C49</f>
        <v>96373.118802022698</v>
      </c>
      <c r="D57" s="232">
        <f>'Прогнозные отчеты'!D49</f>
        <v>291214.84782289906</v>
      </c>
      <c r="E57" s="232">
        <f>'Прогнозные отчеты'!E49</f>
        <v>603375.70716760703</v>
      </c>
      <c r="F57" s="232">
        <f>'Прогнозные отчеты'!F49</f>
        <v>955241.27754120529</v>
      </c>
      <c r="G57" s="232">
        <f>'Прогнозные отчеты'!G49</f>
        <v>1119273.5975682978</v>
      </c>
      <c r="H57" s="170"/>
    </row>
    <row r="58" spans="1:8" x14ac:dyDescent="0.2">
      <c r="A58" s="207" t="s">
        <v>315</v>
      </c>
      <c r="B58" s="80" t="s">
        <v>117</v>
      </c>
      <c r="C58" s="232">
        <f>'Прогнозные отчеты'!C7</f>
        <v>0</v>
      </c>
      <c r="D58" s="232">
        <f>'Прогнозные отчеты'!D7</f>
        <v>0</v>
      </c>
      <c r="E58" s="232">
        <f>'Прогнозные отчеты'!E7</f>
        <v>282.78409090909088</v>
      </c>
      <c r="F58" s="232">
        <f>'Прогнозные отчеты'!F7</f>
        <v>1563.9204545454543</v>
      </c>
      <c r="G58" s="232">
        <f>'Прогнозные отчеты'!G7</f>
        <v>1481.4204545454543</v>
      </c>
      <c r="H58" s="170"/>
    </row>
    <row r="59" spans="1:8" x14ac:dyDescent="0.2">
      <c r="A59" s="207" t="s">
        <v>336</v>
      </c>
      <c r="B59" s="80" t="s">
        <v>117</v>
      </c>
      <c r="C59" s="232">
        <f>'Анализ ликвидности'!C38</f>
        <v>55754.997277337468</v>
      </c>
      <c r="D59" s="232">
        <f>'Анализ ликвидности'!D38</f>
        <v>143141.98180917813</v>
      </c>
      <c r="E59" s="232">
        <f>'Анализ ликвидности'!E38</f>
        <v>360925.0764122986</v>
      </c>
      <c r="F59" s="232">
        <f>'Анализ ликвидности'!F38</f>
        <v>769496.18356511567</v>
      </c>
      <c r="G59" s="232">
        <f>'Анализ ликвидности'!G38</f>
        <v>1184694.6369911763</v>
      </c>
      <c r="H59" s="170"/>
    </row>
    <row r="60" spans="1:8" x14ac:dyDescent="0.2">
      <c r="A60" s="207" t="s">
        <v>493</v>
      </c>
      <c r="B60" s="80" t="s">
        <v>117</v>
      </c>
      <c r="C60" s="237">
        <f>C58+C59</f>
        <v>55754.997277337468</v>
      </c>
      <c r="D60" s="237">
        <f>D58+D59</f>
        <v>143141.98180917813</v>
      </c>
      <c r="E60" s="237">
        <f>E58+E59</f>
        <v>361207.86050320772</v>
      </c>
      <c r="F60" s="237">
        <f>F58+F59</f>
        <v>771060.10401966108</v>
      </c>
      <c r="G60" s="237">
        <f>G58+G59</f>
        <v>1186176.0574457217</v>
      </c>
      <c r="H60" s="170"/>
    </row>
    <row r="61" spans="1:8" x14ac:dyDescent="0.2">
      <c r="A61" s="207" t="s">
        <v>494</v>
      </c>
      <c r="B61" s="80" t="s">
        <v>117</v>
      </c>
      <c r="C61" s="236" t="s">
        <v>312</v>
      </c>
      <c r="D61" s="237">
        <f>(C60+D60)/2</f>
        <v>99448.489543257805</v>
      </c>
      <c r="E61" s="237">
        <f>(D60+E60)/2</f>
        <v>252174.92115619293</v>
      </c>
      <c r="F61" s="237">
        <f>(E60+F60)/2</f>
        <v>566133.98226143443</v>
      </c>
      <c r="G61" s="237">
        <f>(F60+G60)/2</f>
        <v>978618.08073269133</v>
      </c>
      <c r="H61" s="170"/>
    </row>
    <row r="62" spans="1:8" s="161" customFormat="1" x14ac:dyDescent="0.2">
      <c r="A62" s="167" t="s">
        <v>495</v>
      </c>
      <c r="B62" s="167"/>
      <c r="C62" s="233" t="s">
        <v>312</v>
      </c>
      <c r="D62" s="233">
        <f>IF(D61=0,"-",D57/D61)</f>
        <v>2.9282983498329282</v>
      </c>
      <c r="E62" s="233">
        <f>IF(E61=0,"-",E57/E61)</f>
        <v>2.3926872045848135</v>
      </c>
      <c r="F62" s="233">
        <f>IF(F61=0,"-",F57/F61)</f>
        <v>1.687306022022337</v>
      </c>
      <c r="G62" s="233">
        <f>IF(G61=0,"-",G57/G61)</f>
        <v>1.143728712564045</v>
      </c>
      <c r="H62" s="240"/>
    </row>
    <row r="63" spans="1:8" x14ac:dyDescent="0.2">
      <c r="A63" s="170"/>
      <c r="B63" s="170"/>
      <c r="C63" s="170"/>
      <c r="D63" s="170"/>
      <c r="E63" s="170"/>
      <c r="F63" s="170"/>
      <c r="G63" s="170"/>
      <c r="H63" s="170"/>
    </row>
    <row r="64" spans="1:8" x14ac:dyDescent="0.2">
      <c r="A64" s="170"/>
      <c r="B64" s="170"/>
      <c r="C64" s="170"/>
      <c r="D64" s="170"/>
      <c r="E64" s="170"/>
      <c r="F64" s="170"/>
      <c r="G64" s="170"/>
      <c r="H64" s="170"/>
    </row>
    <row r="65" spans="1:8" x14ac:dyDescent="0.2">
      <c r="A65" s="170"/>
      <c r="B65" s="170"/>
      <c r="C65" s="170"/>
      <c r="D65" s="170"/>
      <c r="E65" s="170"/>
      <c r="F65" s="170"/>
      <c r="G65" s="170"/>
      <c r="H65" s="170"/>
    </row>
    <row r="66" spans="1:8" x14ac:dyDescent="0.2">
      <c r="A66" s="170"/>
      <c r="B66" s="170"/>
      <c r="C66" s="170"/>
      <c r="D66" s="170"/>
      <c r="E66" s="170"/>
      <c r="F66" s="170"/>
      <c r="G66" s="170"/>
      <c r="H66" s="170"/>
    </row>
    <row r="67" spans="1:8" x14ac:dyDescent="0.2">
      <c r="A67" s="170"/>
      <c r="B67" s="170"/>
      <c r="C67" s="170"/>
      <c r="D67" s="170"/>
      <c r="E67" s="170"/>
      <c r="F67" s="170"/>
      <c r="G67" s="170"/>
      <c r="H67" s="170"/>
    </row>
  </sheetData>
  <hyperlinks>
    <hyperlink ref="A1" r:id="rId1"/>
  </hyperlinks>
  <pageMargins left="0.7" right="0.7" top="0.75" bottom="0.75" header="0.3" footer="0.3"/>
  <pageSetup paperSize="9" orientation="portrait" horizontalDpi="1200" verticalDpi="120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6"/>
  <sheetViews>
    <sheetView zoomScale="85" zoomScaleNormal="85" workbookViewId="0"/>
  </sheetViews>
  <sheetFormatPr defaultRowHeight="12.75" x14ac:dyDescent="0.2"/>
  <cols>
    <col min="1" max="1" width="37.42578125" style="170" customWidth="1"/>
    <col min="2" max="2" width="10" style="170" customWidth="1"/>
    <col min="3" max="7" width="11.85546875" style="170" customWidth="1"/>
    <col min="8" max="16384" width="9.140625" style="170"/>
  </cols>
  <sheetData>
    <row r="1" spans="1:7" ht="18" x14ac:dyDescent="0.25">
      <c r="A1" s="319" t="s">
        <v>573</v>
      </c>
    </row>
    <row r="2" spans="1:7" x14ac:dyDescent="0.2">
      <c r="A2" s="259" t="s">
        <v>564</v>
      </c>
      <c r="B2" s="174" t="s">
        <v>108</v>
      </c>
      <c r="C2" s="214">
        <f>Окружение!D4</f>
        <v>2014</v>
      </c>
      <c r="D2" s="215">
        <f>C2+1</f>
        <v>2015</v>
      </c>
      <c r="E2" s="216">
        <f>D2+1</f>
        <v>2016</v>
      </c>
      <c r="F2" s="217">
        <f>E2+1</f>
        <v>2017</v>
      </c>
      <c r="G2" s="218">
        <f>F2+1</f>
        <v>2018</v>
      </c>
    </row>
    <row r="4" spans="1:7" x14ac:dyDescent="0.2">
      <c r="A4" s="25" t="s">
        <v>420</v>
      </c>
      <c r="B4" s="25"/>
      <c r="C4" s="25"/>
      <c r="D4" s="25"/>
      <c r="E4" s="25"/>
      <c r="F4" s="25"/>
      <c r="G4" s="25"/>
    </row>
    <row r="5" spans="1:7" x14ac:dyDescent="0.2">
      <c r="A5" s="207" t="s">
        <v>430</v>
      </c>
      <c r="B5" s="166"/>
      <c r="C5" s="237">
        <f>-'Прогнозные отчеты'!C66</f>
        <v>0</v>
      </c>
      <c r="D5" s="237">
        <f>-'Прогнозные отчеты'!D66</f>
        <v>-7778.2</v>
      </c>
      <c r="E5" s="237">
        <f>-'Прогнозные отчеты'!E66</f>
        <v>0</v>
      </c>
      <c r="F5" s="237">
        <f>-'Прогнозные отчеты'!F66</f>
        <v>-26401.1</v>
      </c>
      <c r="G5" s="237">
        <f>-'Прогнозные отчеты'!G66</f>
        <v>0</v>
      </c>
    </row>
    <row r="6" spans="1:7" x14ac:dyDescent="0.2">
      <c r="A6" s="207" t="s">
        <v>429</v>
      </c>
      <c r="B6" s="166"/>
      <c r="C6" s="238">
        <f>'Прогнозные отчеты'!C63</f>
        <v>46724.032527303716</v>
      </c>
      <c r="D6" s="238">
        <f>'Прогнозные отчеты'!D63</f>
        <v>122939.35168752813</v>
      </c>
      <c r="E6" s="238">
        <f>'Прогнозные отчеты'!E63</f>
        <v>273193.99723117321</v>
      </c>
      <c r="F6" s="238">
        <f>'Прогнозные отчеты'!F63</f>
        <v>484432.12087283953</v>
      </c>
      <c r="G6" s="238">
        <f>'Прогнозные отчеты'!G63</f>
        <v>519016.4855325754</v>
      </c>
    </row>
    <row r="7" spans="1:7" s="240" customFormat="1" x14ac:dyDescent="0.2">
      <c r="A7" s="167" t="s">
        <v>565</v>
      </c>
      <c r="B7" s="167"/>
      <c r="C7" s="260">
        <f>IF(C6=0,"-",1-C5/C6)</f>
        <v>1</v>
      </c>
      <c r="D7" s="260">
        <f>IF(D6=0,"-",1-D5/D6)</f>
        <v>1.0632685945812506</v>
      </c>
      <c r="E7" s="260">
        <f>IF(E6=0,"-",1-E5/E6)</f>
        <v>1</v>
      </c>
      <c r="F7" s="260">
        <f>IF(F6=0,"-",1-F5/F6)</f>
        <v>1.0544990698643828</v>
      </c>
      <c r="G7" s="260">
        <f>IF(G6=0,"-",1-G5/G6)</f>
        <v>1</v>
      </c>
    </row>
    <row r="9" spans="1:7" x14ac:dyDescent="0.2">
      <c r="A9" s="25" t="s">
        <v>421</v>
      </c>
      <c r="B9" s="25"/>
      <c r="C9" s="25"/>
      <c r="D9" s="25"/>
      <c r="E9" s="25"/>
      <c r="F9" s="25"/>
      <c r="G9" s="25"/>
    </row>
    <row r="10" spans="1:7" x14ac:dyDescent="0.2">
      <c r="A10" s="207" t="s">
        <v>265</v>
      </c>
      <c r="B10" s="166"/>
      <c r="C10" s="237">
        <f>'Прогнозные отчеты'!C72</f>
        <v>37539.372277337476</v>
      </c>
      <c r="D10" s="237">
        <f>'Прогнозные отчеты'!D72</f>
        <v>104574.04135002251</v>
      </c>
      <c r="E10" s="237">
        <f>'Прогнозные отчеты'!E72</f>
        <v>218552.93551221129</v>
      </c>
      <c r="F10" s="237">
        <f>'Прогнозные отчеты'!F72</f>
        <v>408574.75488008978</v>
      </c>
      <c r="G10" s="237">
        <f>'Прогнозные отчеты'!G72</f>
        <v>415115.73751696933</v>
      </c>
    </row>
    <row r="11" spans="1:7" x14ac:dyDescent="0.2">
      <c r="A11" s="207" t="s">
        <v>28</v>
      </c>
      <c r="B11" s="166"/>
      <c r="C11" s="237">
        <f>'Прогнозные отчеты'!C68</f>
        <v>46724.032527303716</v>
      </c>
      <c r="D11" s="237">
        <f>'Прогнозные отчеты'!D68</f>
        <v>130717.55168752813</v>
      </c>
      <c r="E11" s="237">
        <f>'Прогнозные отчеты'!E68</f>
        <v>273191.16939026414</v>
      </c>
      <c r="F11" s="237">
        <f>'Прогнозные отчеты'!F68</f>
        <v>510718.44360011222</v>
      </c>
      <c r="G11" s="237">
        <f>'Прогнозные отчеты'!G68</f>
        <v>518894.67189621174</v>
      </c>
    </row>
    <row r="12" spans="1:7" s="240" customFormat="1" x14ac:dyDescent="0.2">
      <c r="A12" s="167" t="s">
        <v>422</v>
      </c>
      <c r="B12" s="167"/>
      <c r="C12" s="233">
        <f>IF(C11=0,"-",C10/C11)</f>
        <v>0.80342749216692544</v>
      </c>
      <c r="D12" s="233">
        <f>IF(D11=0,"-",D10/D11)</f>
        <v>0.8</v>
      </c>
      <c r="E12" s="233">
        <f>IF(E11=0,"-",E10/E11)</f>
        <v>0.79999999999999993</v>
      </c>
      <c r="F12" s="233">
        <f>IF(F11=0,"-",F10/F11)</f>
        <v>0.8</v>
      </c>
      <c r="G12" s="233">
        <f>IF(G11=0,"-",G10/G11)</f>
        <v>0.79999999999999982</v>
      </c>
    </row>
    <row r="14" spans="1:7" x14ac:dyDescent="0.2">
      <c r="A14" s="25" t="s">
        <v>423</v>
      </c>
      <c r="B14" s="25"/>
      <c r="C14" s="25"/>
      <c r="D14" s="25"/>
      <c r="E14" s="25"/>
      <c r="F14" s="25"/>
      <c r="G14" s="25"/>
    </row>
    <row r="15" spans="1:7" x14ac:dyDescent="0.2">
      <c r="A15" s="207" t="s">
        <v>421</v>
      </c>
      <c r="B15" s="166"/>
      <c r="C15" s="250">
        <f>C12</f>
        <v>0.80342749216692544</v>
      </c>
      <c r="D15" s="250">
        <f>D12</f>
        <v>0.8</v>
      </c>
      <c r="E15" s="250">
        <f>E12</f>
        <v>0.79999999999999993</v>
      </c>
      <c r="F15" s="250">
        <f>F12</f>
        <v>0.8</v>
      </c>
      <c r="G15" s="250">
        <f>G12</f>
        <v>0.79999999999999982</v>
      </c>
    </row>
    <row r="16" spans="1:7" s="240" customFormat="1" x14ac:dyDescent="0.2">
      <c r="A16" s="167" t="s">
        <v>423</v>
      </c>
      <c r="B16" s="167"/>
      <c r="C16" s="233">
        <f>IF(C15="-","-",1-C15)</f>
        <v>0.19657250783307456</v>
      </c>
      <c r="D16" s="233">
        <f>IF(D15="-","-",1-D15)</f>
        <v>0.19999999999999996</v>
      </c>
      <c r="E16" s="233">
        <f>IF(E15="-","-",1-E15)</f>
        <v>0.20000000000000007</v>
      </c>
      <c r="F16" s="233">
        <f>IF(F15="-","-",1-F15)</f>
        <v>0.19999999999999996</v>
      </c>
      <c r="G16" s="233">
        <f>IF(G15="-","-",1-G15)</f>
        <v>0.20000000000000018</v>
      </c>
    </row>
  </sheetData>
  <hyperlinks>
    <hyperlink ref="A1" r:id="rId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O1" sqref="O1"/>
    </sheetView>
  </sheetViews>
  <sheetFormatPr defaultColWidth="8.85546875" defaultRowHeight="12.75" x14ac:dyDescent="0.2"/>
  <sheetData>
    <row r="1" spans="1:16" ht="18" x14ac:dyDescent="0.25">
      <c r="A1" s="286">
        <v>9000</v>
      </c>
      <c r="B1" s="286">
        <v>10500</v>
      </c>
      <c r="C1" s="286">
        <v>13500</v>
      </c>
      <c r="D1" s="286">
        <v>17000</v>
      </c>
      <c r="E1" s="286">
        <v>21000</v>
      </c>
      <c r="F1" s="286">
        <v>24000</v>
      </c>
      <c r="G1" s="286">
        <v>30000</v>
      </c>
      <c r="H1" s="286">
        <v>33500</v>
      </c>
      <c r="I1" s="286">
        <v>40500</v>
      </c>
      <c r="J1" s="286">
        <v>45000</v>
      </c>
      <c r="K1" s="286">
        <v>49000</v>
      </c>
      <c r="L1" s="286">
        <v>57000</v>
      </c>
      <c r="M1" s="286">
        <v>60000</v>
      </c>
      <c r="O1" s="319" t="s">
        <v>573</v>
      </c>
    </row>
    <row r="2" spans="1:16" x14ac:dyDescent="0.2">
      <c r="A2" s="286">
        <v>3000</v>
      </c>
      <c r="B2" s="286">
        <v>5000</v>
      </c>
      <c r="C2" s="286">
        <v>6500</v>
      </c>
      <c r="D2" s="286">
        <v>8000</v>
      </c>
      <c r="E2" s="286">
        <v>8500</v>
      </c>
      <c r="F2" s="286">
        <v>9000</v>
      </c>
      <c r="G2" s="286">
        <v>11000</v>
      </c>
      <c r="H2" s="286">
        <v>13000</v>
      </c>
      <c r="I2" s="286">
        <v>17000</v>
      </c>
      <c r="J2" s="286">
        <v>20000</v>
      </c>
      <c r="K2" s="286">
        <v>24000</v>
      </c>
      <c r="L2" s="286">
        <v>28000</v>
      </c>
      <c r="M2" s="286">
        <v>30000</v>
      </c>
    </row>
    <row r="3" spans="1:16" x14ac:dyDescent="0.2">
      <c r="A3" s="286">
        <v>0</v>
      </c>
      <c r="B3" s="286">
        <v>0</v>
      </c>
      <c r="C3" s="286">
        <v>0</v>
      </c>
      <c r="D3" s="286">
        <v>500</v>
      </c>
      <c r="E3" s="286">
        <v>1000</v>
      </c>
      <c r="F3" s="286">
        <v>1500</v>
      </c>
      <c r="G3" s="286">
        <v>3000</v>
      </c>
      <c r="H3" s="286">
        <v>3500</v>
      </c>
      <c r="I3" s="286">
        <v>5000</v>
      </c>
      <c r="J3" s="286">
        <v>5500</v>
      </c>
      <c r="K3" s="286">
        <v>6500</v>
      </c>
      <c r="L3" s="286">
        <v>9000</v>
      </c>
      <c r="M3" s="286">
        <v>10000</v>
      </c>
    </row>
    <row r="4" spans="1:16" x14ac:dyDescent="0.2">
      <c r="A4" s="3" t="s">
        <v>89</v>
      </c>
      <c r="B4" s="3" t="s">
        <v>90</v>
      </c>
      <c r="C4" s="4" t="s">
        <v>92</v>
      </c>
      <c r="D4" s="4" t="s">
        <v>94</v>
      </c>
      <c r="E4" s="5" t="s">
        <v>95</v>
      </c>
      <c r="F4" s="5" t="s">
        <v>96</v>
      </c>
      <c r="G4" s="5" t="s">
        <v>98</v>
      </c>
      <c r="H4" s="6" t="s">
        <v>99</v>
      </c>
      <c r="I4" s="6" t="s">
        <v>101</v>
      </c>
      <c r="J4" s="6" t="s">
        <v>102</v>
      </c>
      <c r="K4" s="7" t="s">
        <v>103</v>
      </c>
      <c r="L4" s="7" t="s">
        <v>105</v>
      </c>
      <c r="M4" s="7" t="s">
        <v>106</v>
      </c>
    </row>
    <row r="6" spans="1:16" x14ac:dyDescent="0.2">
      <c r="A6">
        <v>9000</v>
      </c>
      <c r="B6">
        <v>10500</v>
      </c>
      <c r="C6">
        <v>13500</v>
      </c>
      <c r="D6">
        <v>17000</v>
      </c>
      <c r="E6">
        <v>21000</v>
      </c>
      <c r="F6">
        <v>24000</v>
      </c>
      <c r="G6">
        <v>30000</v>
      </c>
      <c r="H6">
        <v>33500</v>
      </c>
      <c r="I6">
        <v>40500</v>
      </c>
      <c r="J6">
        <v>45000</v>
      </c>
      <c r="K6">
        <v>49000</v>
      </c>
      <c r="L6">
        <v>57000</v>
      </c>
      <c r="M6">
        <v>60000</v>
      </c>
    </row>
    <row r="7" spans="1:16" x14ac:dyDescent="0.2">
      <c r="A7">
        <v>3000</v>
      </c>
      <c r="B7">
        <v>5000</v>
      </c>
      <c r="C7">
        <v>6500</v>
      </c>
      <c r="D7">
        <v>8000</v>
      </c>
      <c r="E7">
        <v>8500</v>
      </c>
      <c r="F7">
        <v>9000</v>
      </c>
      <c r="G7">
        <v>11000</v>
      </c>
      <c r="H7">
        <v>13000</v>
      </c>
      <c r="I7">
        <v>17000</v>
      </c>
      <c r="J7">
        <v>20000</v>
      </c>
      <c r="K7">
        <v>24000</v>
      </c>
      <c r="L7">
        <v>28000</v>
      </c>
      <c r="M7">
        <v>30000</v>
      </c>
    </row>
    <row r="8" spans="1:16" x14ac:dyDescent="0.2">
      <c r="A8">
        <v>0</v>
      </c>
      <c r="B8">
        <v>0</v>
      </c>
      <c r="C8">
        <v>0</v>
      </c>
      <c r="D8">
        <v>500</v>
      </c>
      <c r="E8">
        <v>1000</v>
      </c>
      <c r="F8">
        <v>1500</v>
      </c>
      <c r="G8">
        <v>3000</v>
      </c>
      <c r="H8">
        <v>3500</v>
      </c>
      <c r="I8">
        <v>5000</v>
      </c>
      <c r="J8">
        <v>5500</v>
      </c>
      <c r="K8">
        <v>6500</v>
      </c>
      <c r="L8">
        <v>9000</v>
      </c>
      <c r="M8">
        <v>10000</v>
      </c>
    </row>
    <row r="12" spans="1:16" x14ac:dyDescent="0.2">
      <c r="A12">
        <v>2</v>
      </c>
      <c r="B12">
        <v>3</v>
      </c>
      <c r="C12">
        <v>4</v>
      </c>
      <c r="D12">
        <v>6</v>
      </c>
      <c r="E12">
        <v>7</v>
      </c>
      <c r="F12">
        <v>8</v>
      </c>
      <c r="G12">
        <v>9</v>
      </c>
      <c r="H12">
        <v>10</v>
      </c>
      <c r="I12">
        <v>12</v>
      </c>
      <c r="J12">
        <v>13</v>
      </c>
      <c r="K12">
        <v>14</v>
      </c>
      <c r="L12">
        <v>15</v>
      </c>
      <c r="M12">
        <v>16</v>
      </c>
      <c r="N12">
        <v>17</v>
      </c>
      <c r="O12">
        <v>19</v>
      </c>
      <c r="P12">
        <v>20</v>
      </c>
    </row>
    <row r="13" spans="1:16" x14ac:dyDescent="0.2">
      <c r="A13" s="286">
        <v>35000</v>
      </c>
      <c r="B13" s="286">
        <v>35000</v>
      </c>
      <c r="C13" s="286">
        <v>40000</v>
      </c>
      <c r="D13" s="286">
        <v>70000</v>
      </c>
      <c r="E13" s="286">
        <v>80000</v>
      </c>
      <c r="F13" s="286">
        <v>90000</v>
      </c>
      <c r="G13" s="286">
        <v>100000</v>
      </c>
      <c r="H13" s="286">
        <v>105000</v>
      </c>
      <c r="I13" s="286">
        <v>120000</v>
      </c>
      <c r="J13" s="286">
        <v>130000</v>
      </c>
      <c r="K13" s="286">
        <v>135000</v>
      </c>
      <c r="L13" s="286">
        <v>140000</v>
      </c>
      <c r="M13" s="286">
        <v>150000</v>
      </c>
      <c r="N13" s="286">
        <v>155000</v>
      </c>
      <c r="O13" s="286">
        <v>165000</v>
      </c>
      <c r="P13" s="286">
        <v>180000</v>
      </c>
    </row>
    <row r="14" spans="1:16" x14ac:dyDescent="0.2">
      <c r="A14" s="286">
        <v>20000</v>
      </c>
      <c r="B14" s="286">
        <v>20000</v>
      </c>
      <c r="C14" s="286">
        <v>25000</v>
      </c>
      <c r="D14" s="286">
        <v>40000</v>
      </c>
      <c r="E14" s="286">
        <v>80000</v>
      </c>
      <c r="F14" s="286">
        <v>100000</v>
      </c>
      <c r="G14" s="286">
        <v>130000</v>
      </c>
      <c r="H14" s="286">
        <v>150000</v>
      </c>
      <c r="I14" s="286">
        <v>160000</v>
      </c>
      <c r="J14" s="286">
        <v>170000</v>
      </c>
      <c r="K14" s="286">
        <v>180000</v>
      </c>
      <c r="L14" s="286">
        <v>190000</v>
      </c>
      <c r="M14" s="286">
        <v>210000</v>
      </c>
      <c r="N14" s="286">
        <v>220000</v>
      </c>
      <c r="O14" s="286">
        <v>260000</v>
      </c>
      <c r="P14" s="286">
        <v>270000</v>
      </c>
    </row>
    <row r="15" spans="1:16" x14ac:dyDescent="0.2">
      <c r="A15" s="286">
        <v>0</v>
      </c>
      <c r="B15" s="286">
        <v>0</v>
      </c>
      <c r="C15" s="286">
        <v>0</v>
      </c>
      <c r="D15" s="286">
        <v>0</v>
      </c>
      <c r="E15" s="286">
        <v>10000</v>
      </c>
      <c r="F15" s="286">
        <v>20000</v>
      </c>
      <c r="G15" s="286">
        <v>25000</v>
      </c>
      <c r="H15" s="286">
        <v>30000</v>
      </c>
      <c r="I15" s="286">
        <v>60000</v>
      </c>
      <c r="J15" s="286">
        <v>65000</v>
      </c>
      <c r="K15" s="286">
        <v>70000</v>
      </c>
      <c r="L15" s="286">
        <v>75000</v>
      </c>
      <c r="M15" s="286">
        <v>85000</v>
      </c>
      <c r="N15" s="286">
        <v>90000</v>
      </c>
      <c r="O15" s="286">
        <v>100000</v>
      </c>
      <c r="P15" s="286">
        <v>110000</v>
      </c>
    </row>
    <row r="20" spans="4:19" x14ac:dyDescent="0.2">
      <c r="D20">
        <v>35000</v>
      </c>
      <c r="E20">
        <v>35000</v>
      </c>
      <c r="F20">
        <v>40000</v>
      </c>
      <c r="G20">
        <v>70000</v>
      </c>
      <c r="H20">
        <v>80000</v>
      </c>
      <c r="I20">
        <v>90000</v>
      </c>
      <c r="J20">
        <v>100000</v>
      </c>
      <c r="K20">
        <v>105000</v>
      </c>
      <c r="L20">
        <v>120000</v>
      </c>
      <c r="M20">
        <v>130000</v>
      </c>
      <c r="N20">
        <v>135000</v>
      </c>
      <c r="O20">
        <v>140000</v>
      </c>
      <c r="P20">
        <v>150000</v>
      </c>
      <c r="Q20">
        <v>155000</v>
      </c>
      <c r="R20">
        <v>165000</v>
      </c>
      <c r="S20">
        <v>180000</v>
      </c>
    </row>
    <row r="21" spans="4:19" x14ac:dyDescent="0.2">
      <c r="D21">
        <v>20000</v>
      </c>
      <c r="E21">
        <v>20000</v>
      </c>
      <c r="F21">
        <v>25000</v>
      </c>
      <c r="G21">
        <v>40000</v>
      </c>
      <c r="H21">
        <v>80000</v>
      </c>
      <c r="I21">
        <v>100000</v>
      </c>
      <c r="J21">
        <v>130000</v>
      </c>
      <c r="K21">
        <v>150000</v>
      </c>
      <c r="L21">
        <v>160000</v>
      </c>
      <c r="M21">
        <v>170000</v>
      </c>
      <c r="N21">
        <v>180000</v>
      </c>
      <c r="O21">
        <v>190000</v>
      </c>
      <c r="P21">
        <v>210000</v>
      </c>
      <c r="Q21">
        <v>220000</v>
      </c>
      <c r="R21">
        <v>260000</v>
      </c>
      <c r="S21">
        <v>270000</v>
      </c>
    </row>
    <row r="22" spans="4:19" x14ac:dyDescent="0.2">
      <c r="D22">
        <v>0</v>
      </c>
      <c r="E22">
        <v>0</v>
      </c>
      <c r="F22">
        <v>0</v>
      </c>
      <c r="G22">
        <v>0</v>
      </c>
      <c r="H22">
        <v>10000</v>
      </c>
      <c r="I22">
        <v>20000</v>
      </c>
      <c r="J22">
        <v>25000</v>
      </c>
      <c r="K22">
        <v>30000</v>
      </c>
      <c r="L22">
        <v>60000</v>
      </c>
      <c r="M22">
        <v>65000</v>
      </c>
      <c r="N22">
        <v>70000</v>
      </c>
      <c r="O22">
        <v>75000</v>
      </c>
      <c r="P22">
        <v>85000</v>
      </c>
      <c r="Q22">
        <v>90000</v>
      </c>
      <c r="R22">
        <v>100000</v>
      </c>
      <c r="S22">
        <v>110000</v>
      </c>
    </row>
    <row r="28" spans="4:19" x14ac:dyDescent="0.2">
      <c r="I28" s="16">
        <v>1300</v>
      </c>
      <c r="J28">
        <f>I28*0.9</f>
        <v>1170</v>
      </c>
    </row>
    <row r="29" spans="4:19" x14ac:dyDescent="0.2">
      <c r="I29" s="16">
        <v>1600</v>
      </c>
    </row>
    <row r="30" spans="4:19" x14ac:dyDescent="0.2">
      <c r="I30" s="111">
        <v>2200</v>
      </c>
    </row>
    <row r="33" spans="1:20" x14ac:dyDescent="0.2">
      <c r="A33" s="286">
        <v>1000</v>
      </c>
      <c r="B33" s="286">
        <v>5000</v>
      </c>
      <c r="C33" s="286">
        <v>9000</v>
      </c>
      <c r="D33" s="286">
        <v>13500</v>
      </c>
      <c r="E33" s="286">
        <v>15000</v>
      </c>
      <c r="F33" s="286">
        <v>17000</v>
      </c>
      <c r="G33" s="286">
        <v>21000</v>
      </c>
      <c r="H33" s="286">
        <v>24000</v>
      </c>
      <c r="I33" s="286">
        <v>28500</v>
      </c>
      <c r="J33" s="286">
        <v>33500</v>
      </c>
      <c r="K33" s="286">
        <v>37000</v>
      </c>
      <c r="L33" s="286">
        <v>40500</v>
      </c>
      <c r="M33" s="286">
        <v>45000</v>
      </c>
      <c r="N33" s="286">
        <v>49000</v>
      </c>
      <c r="O33" s="286">
        <v>57000</v>
      </c>
      <c r="P33" s="286">
        <v>60000</v>
      </c>
      <c r="Q33" s="286">
        <v>45000</v>
      </c>
      <c r="R33" s="286">
        <v>49000</v>
      </c>
      <c r="S33" s="286">
        <v>57000</v>
      </c>
      <c r="T33" s="286">
        <v>60000</v>
      </c>
    </row>
    <row r="34" spans="1:20" x14ac:dyDescent="0.2">
      <c r="A34" s="286">
        <v>1000</v>
      </c>
      <c r="B34" s="286">
        <v>2000</v>
      </c>
      <c r="C34" s="286">
        <v>4000</v>
      </c>
      <c r="D34" s="286">
        <v>6500</v>
      </c>
      <c r="E34" s="286">
        <v>7000</v>
      </c>
      <c r="F34" s="286">
        <v>8000</v>
      </c>
      <c r="G34" s="286">
        <v>8500</v>
      </c>
      <c r="H34" s="286">
        <v>9000</v>
      </c>
      <c r="I34" s="286">
        <v>11000</v>
      </c>
      <c r="J34" s="286">
        <v>13000</v>
      </c>
      <c r="K34" s="286">
        <v>15000</v>
      </c>
      <c r="L34" s="286">
        <v>17000</v>
      </c>
      <c r="M34" s="286">
        <v>20000</v>
      </c>
      <c r="N34" s="286">
        <v>24000</v>
      </c>
      <c r="O34" s="286">
        <v>28000</v>
      </c>
      <c r="P34" s="286">
        <v>30000</v>
      </c>
      <c r="Q34" s="286">
        <v>20000</v>
      </c>
      <c r="R34" s="286">
        <v>24000</v>
      </c>
      <c r="S34" s="286">
        <v>28000</v>
      </c>
      <c r="T34" s="286">
        <v>30000</v>
      </c>
    </row>
    <row r="35" spans="1:20" x14ac:dyDescent="0.2">
      <c r="A35" s="286">
        <v>0</v>
      </c>
      <c r="B35" s="286">
        <v>0</v>
      </c>
      <c r="C35" s="286">
        <v>0</v>
      </c>
      <c r="D35" s="286">
        <v>0</v>
      </c>
      <c r="E35" s="286">
        <v>500</v>
      </c>
      <c r="F35" s="286">
        <v>500</v>
      </c>
      <c r="G35" s="286">
        <v>1000</v>
      </c>
      <c r="H35" s="286">
        <v>1500</v>
      </c>
      <c r="I35" s="286">
        <v>3000</v>
      </c>
      <c r="J35" s="286">
        <v>3500</v>
      </c>
      <c r="K35" s="286">
        <v>4000</v>
      </c>
      <c r="L35" s="286">
        <v>5000</v>
      </c>
      <c r="M35" s="286">
        <v>5500</v>
      </c>
      <c r="N35" s="286">
        <v>6500</v>
      </c>
      <c r="O35" s="286">
        <v>9000</v>
      </c>
      <c r="P35" s="286">
        <v>10000</v>
      </c>
      <c r="Q35" s="286">
        <v>5500</v>
      </c>
      <c r="R35" s="286">
        <v>6500</v>
      </c>
      <c r="S35" s="286">
        <v>9000</v>
      </c>
      <c r="T35" s="286">
        <v>10000</v>
      </c>
    </row>
    <row r="37" spans="1:20" x14ac:dyDescent="0.2">
      <c r="A37">
        <f>A33*0.9</f>
        <v>900</v>
      </c>
      <c r="B37">
        <f t="shared" ref="B37:T37" si="0">B33*0.9</f>
        <v>4500</v>
      </c>
      <c r="C37">
        <f t="shared" si="0"/>
        <v>8100</v>
      </c>
      <c r="D37">
        <f t="shared" si="0"/>
        <v>12150</v>
      </c>
      <c r="E37">
        <f t="shared" si="0"/>
        <v>13500</v>
      </c>
      <c r="F37">
        <f t="shared" si="0"/>
        <v>15300</v>
      </c>
      <c r="G37">
        <f t="shared" si="0"/>
        <v>18900</v>
      </c>
      <c r="H37">
        <f t="shared" si="0"/>
        <v>21600</v>
      </c>
      <c r="I37">
        <f t="shared" si="0"/>
        <v>25650</v>
      </c>
      <c r="J37">
        <f t="shared" si="0"/>
        <v>30150</v>
      </c>
      <c r="K37">
        <f t="shared" si="0"/>
        <v>33300</v>
      </c>
      <c r="L37">
        <f t="shared" si="0"/>
        <v>36450</v>
      </c>
      <c r="M37">
        <f t="shared" si="0"/>
        <v>40500</v>
      </c>
      <c r="N37">
        <f t="shared" si="0"/>
        <v>44100</v>
      </c>
      <c r="O37">
        <f t="shared" si="0"/>
        <v>51300</v>
      </c>
      <c r="P37">
        <f t="shared" si="0"/>
        <v>54000</v>
      </c>
      <c r="Q37">
        <f t="shared" si="0"/>
        <v>40500</v>
      </c>
      <c r="R37">
        <f t="shared" si="0"/>
        <v>44100</v>
      </c>
      <c r="S37">
        <f t="shared" si="0"/>
        <v>51300</v>
      </c>
      <c r="T37">
        <f t="shared" si="0"/>
        <v>54000</v>
      </c>
    </row>
    <row r="38" spans="1:20" x14ac:dyDescent="0.2">
      <c r="A38">
        <f t="shared" ref="A38:T38" si="1">A34*0.9</f>
        <v>900</v>
      </c>
      <c r="B38">
        <f t="shared" si="1"/>
        <v>1800</v>
      </c>
      <c r="C38">
        <f t="shared" si="1"/>
        <v>3600</v>
      </c>
      <c r="D38">
        <f t="shared" si="1"/>
        <v>5850</v>
      </c>
      <c r="E38">
        <f t="shared" si="1"/>
        <v>6300</v>
      </c>
      <c r="F38">
        <f t="shared" si="1"/>
        <v>7200</v>
      </c>
      <c r="G38">
        <f t="shared" si="1"/>
        <v>7650</v>
      </c>
      <c r="H38">
        <f t="shared" si="1"/>
        <v>8100</v>
      </c>
      <c r="I38">
        <f t="shared" si="1"/>
        <v>9900</v>
      </c>
      <c r="J38">
        <f t="shared" si="1"/>
        <v>11700</v>
      </c>
      <c r="K38">
        <f t="shared" si="1"/>
        <v>13500</v>
      </c>
      <c r="L38">
        <f t="shared" si="1"/>
        <v>15300</v>
      </c>
      <c r="M38">
        <f t="shared" si="1"/>
        <v>18000</v>
      </c>
      <c r="N38">
        <f t="shared" si="1"/>
        <v>21600</v>
      </c>
      <c r="O38">
        <f t="shared" si="1"/>
        <v>25200</v>
      </c>
      <c r="P38">
        <f t="shared" si="1"/>
        <v>27000</v>
      </c>
      <c r="Q38">
        <f t="shared" si="1"/>
        <v>18000</v>
      </c>
      <c r="R38">
        <f t="shared" si="1"/>
        <v>21600</v>
      </c>
      <c r="S38">
        <f t="shared" si="1"/>
        <v>25200</v>
      </c>
      <c r="T38">
        <f t="shared" si="1"/>
        <v>27000</v>
      </c>
    </row>
    <row r="39" spans="1:20" x14ac:dyDescent="0.2">
      <c r="A39">
        <f t="shared" ref="A39:T39" si="2">A35*0.9</f>
        <v>0</v>
      </c>
      <c r="B39">
        <f t="shared" si="2"/>
        <v>0</v>
      </c>
      <c r="C39">
        <f t="shared" si="2"/>
        <v>0</v>
      </c>
      <c r="D39">
        <f t="shared" si="2"/>
        <v>0</v>
      </c>
      <c r="E39">
        <f t="shared" si="2"/>
        <v>450</v>
      </c>
      <c r="F39">
        <f t="shared" si="2"/>
        <v>450</v>
      </c>
      <c r="G39">
        <f t="shared" si="2"/>
        <v>900</v>
      </c>
      <c r="H39">
        <f t="shared" si="2"/>
        <v>1350</v>
      </c>
      <c r="I39">
        <f t="shared" si="2"/>
        <v>2700</v>
      </c>
      <c r="J39">
        <f t="shared" si="2"/>
        <v>3150</v>
      </c>
      <c r="K39">
        <f t="shared" si="2"/>
        <v>3600</v>
      </c>
      <c r="L39">
        <f t="shared" si="2"/>
        <v>4500</v>
      </c>
      <c r="M39">
        <f t="shared" si="2"/>
        <v>4950</v>
      </c>
      <c r="N39">
        <f t="shared" si="2"/>
        <v>5850</v>
      </c>
      <c r="O39">
        <f t="shared" si="2"/>
        <v>8100</v>
      </c>
      <c r="P39">
        <f t="shared" si="2"/>
        <v>9000</v>
      </c>
      <c r="Q39">
        <f t="shared" si="2"/>
        <v>4950</v>
      </c>
      <c r="R39">
        <f t="shared" si="2"/>
        <v>5850</v>
      </c>
      <c r="S39">
        <f t="shared" si="2"/>
        <v>8100</v>
      </c>
      <c r="T39">
        <f t="shared" si="2"/>
        <v>9000</v>
      </c>
    </row>
  </sheetData>
  <hyperlinks>
    <hyperlink ref="O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112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1" sqref="C1"/>
    </sheetView>
  </sheetViews>
  <sheetFormatPr defaultRowHeight="12.75" x14ac:dyDescent="0.2"/>
  <cols>
    <col min="1" max="2" width="3.7109375" style="1" customWidth="1"/>
    <col min="3" max="3" width="50.85546875" style="1" customWidth="1"/>
    <col min="4" max="4" width="9.140625" style="1" customWidth="1"/>
    <col min="5" max="6" width="9.28515625" style="1" bestFit="1" customWidth="1"/>
    <col min="7" max="7" width="9.140625" style="1" customWidth="1"/>
    <col min="8" max="24" width="9.28515625" style="1" bestFit="1" customWidth="1"/>
    <col min="25" max="16384" width="9.140625" style="1"/>
  </cols>
  <sheetData>
    <row r="1" spans="1:24" ht="18" x14ac:dyDescent="0.25">
      <c r="C1" s="319" t="s">
        <v>573</v>
      </c>
    </row>
    <row r="2" spans="1:24" s="2" customFormat="1" x14ac:dyDescent="0.2">
      <c r="A2" s="11" t="s">
        <v>376</v>
      </c>
      <c r="B2" s="11"/>
      <c r="C2" s="12"/>
      <c r="D2" s="2" t="s">
        <v>108</v>
      </c>
      <c r="E2" s="3" t="s">
        <v>87</v>
      </c>
      <c r="F2" s="3" t="s">
        <v>88</v>
      </c>
      <c r="G2" s="3" t="s">
        <v>89</v>
      </c>
      <c r="H2" s="3" t="s">
        <v>90</v>
      </c>
      <c r="I2" s="4" t="s">
        <v>91</v>
      </c>
      <c r="J2" s="4" t="s">
        <v>92</v>
      </c>
      <c r="K2" s="4" t="s">
        <v>93</v>
      </c>
      <c r="L2" s="4" t="s">
        <v>94</v>
      </c>
      <c r="M2" s="5" t="s">
        <v>95</v>
      </c>
      <c r="N2" s="5" t="s">
        <v>96</v>
      </c>
      <c r="O2" s="5" t="s">
        <v>97</v>
      </c>
      <c r="P2" s="5" t="s">
        <v>98</v>
      </c>
      <c r="Q2" s="6" t="s">
        <v>99</v>
      </c>
      <c r="R2" s="6" t="s">
        <v>100</v>
      </c>
      <c r="S2" s="6" t="s">
        <v>101</v>
      </c>
      <c r="T2" s="6" t="s">
        <v>102</v>
      </c>
      <c r="U2" s="7" t="s">
        <v>103</v>
      </c>
      <c r="V2" s="7" t="s">
        <v>104</v>
      </c>
      <c r="W2" s="7" t="s">
        <v>105</v>
      </c>
      <c r="X2" s="7" t="s">
        <v>106</v>
      </c>
    </row>
    <row r="4" spans="1:24" x14ac:dyDescent="0.2">
      <c r="A4" s="25" t="s">
        <v>129</v>
      </c>
      <c r="B4" s="10"/>
    </row>
    <row r="5" spans="1:24" x14ac:dyDescent="0.2">
      <c r="A5" s="311"/>
      <c r="B5" s="312" t="s">
        <v>531</v>
      </c>
      <c r="C5" s="313"/>
    </row>
    <row r="6" spans="1:24" x14ac:dyDescent="0.2">
      <c r="A6" s="311"/>
      <c r="B6" s="313"/>
      <c r="C6" s="313" t="s">
        <v>130</v>
      </c>
      <c r="D6" s="14" t="s">
        <v>135</v>
      </c>
      <c r="E6" s="287">
        <v>1</v>
      </c>
      <c r="F6" s="29">
        <f>E6</f>
        <v>1</v>
      </c>
      <c r="G6" s="29">
        <f t="shared" ref="G6:X6" si="0">F6</f>
        <v>1</v>
      </c>
      <c r="H6" s="29">
        <f t="shared" si="0"/>
        <v>1</v>
      </c>
      <c r="I6" s="29">
        <v>2</v>
      </c>
      <c r="J6" s="29">
        <f t="shared" si="0"/>
        <v>2</v>
      </c>
      <c r="K6" s="29">
        <f t="shared" si="0"/>
        <v>2</v>
      </c>
      <c r="L6" s="29">
        <f t="shared" si="0"/>
        <v>2</v>
      </c>
      <c r="M6" s="29">
        <f t="shared" si="0"/>
        <v>2</v>
      </c>
      <c r="N6" s="29">
        <f t="shared" si="0"/>
        <v>2</v>
      </c>
      <c r="O6" s="29">
        <f t="shared" si="0"/>
        <v>2</v>
      </c>
      <c r="P6" s="29">
        <f t="shared" si="0"/>
        <v>2</v>
      </c>
      <c r="Q6" s="29">
        <f t="shared" si="0"/>
        <v>2</v>
      </c>
      <c r="R6" s="29">
        <f t="shared" si="0"/>
        <v>2</v>
      </c>
      <c r="S6" s="29">
        <f t="shared" si="0"/>
        <v>2</v>
      </c>
      <c r="T6" s="29">
        <f t="shared" si="0"/>
        <v>2</v>
      </c>
      <c r="U6" s="29">
        <f t="shared" si="0"/>
        <v>2</v>
      </c>
      <c r="V6" s="29">
        <f t="shared" si="0"/>
        <v>2</v>
      </c>
      <c r="W6" s="29">
        <f t="shared" si="0"/>
        <v>2</v>
      </c>
      <c r="X6" s="29">
        <f t="shared" si="0"/>
        <v>2</v>
      </c>
    </row>
    <row r="7" spans="1:24" x14ac:dyDescent="0.2">
      <c r="B7" s="288"/>
      <c r="C7" s="288" t="s">
        <v>27</v>
      </c>
      <c r="D7" s="14" t="s">
        <v>117</v>
      </c>
      <c r="E7" s="287">
        <v>180</v>
      </c>
      <c r="F7" s="29">
        <f>E7*(1+Окружение!E8)</f>
        <v>183.2840281977426</v>
      </c>
      <c r="G7" s="29">
        <f>F7*(1+Окружение!F8)</f>
        <v>186.62797217994947</v>
      </c>
      <c r="H7" s="29">
        <f>G7*(1+Окружение!G8)</f>
        <v>190.03292508620765</v>
      </c>
      <c r="I7" s="29">
        <f>H7*(1+Окружение!H8)</f>
        <v>193.61240202241802</v>
      </c>
      <c r="J7" s="29">
        <f>I7*(1+Окружение!I8)</f>
        <v>197.25930230187825</v>
      </c>
      <c r="K7" s="29">
        <f>J7*(1+Окружение!J8)</f>
        <v>200.97489591662796</v>
      </c>
      <c r="L7" s="29">
        <f>K7*(1+Окружение!K8)</f>
        <v>204.76047678038881</v>
      </c>
      <c r="M7" s="29">
        <f>L7*(1+Окружение!L8)</f>
        <v>207.76510051808557</v>
      </c>
      <c r="N7" s="29">
        <f>M7*(1+Окружение!M8)</f>
        <v>210.81381364230401</v>
      </c>
      <c r="O7" s="29">
        <f>N7*(1+Окружение!N8)</f>
        <v>213.90726311391958</v>
      </c>
      <c r="P7" s="29">
        <f>O7*(1+Окружение!O8)</f>
        <v>217.04610538721218</v>
      </c>
      <c r="Q7" s="29">
        <f>P7*(1+Окружение!P8)</f>
        <v>219.70974607443404</v>
      </c>
      <c r="R7" s="29">
        <f>Q7*(1+Окружение!Q8)</f>
        <v>222.4060755846042</v>
      </c>
      <c r="S7" s="29">
        <f>R7*(1+Окружение!R8)</f>
        <v>225.13549508262111</v>
      </c>
      <c r="T7" s="29">
        <f>S7*(1+Окружение!S8)</f>
        <v>227.89841065657288</v>
      </c>
      <c r="U7" s="29">
        <f>T7*(1+Окружение!T8)</f>
        <v>230.69523337815582</v>
      </c>
      <c r="V7" s="29">
        <f>U7*(1+Окружение!U8)</f>
        <v>233.52637936383448</v>
      </c>
      <c r="W7" s="29">
        <f>V7*(1+Окружение!V8)</f>
        <v>236.39226983675223</v>
      </c>
      <c r="X7" s="29">
        <f>W7*(1+Окружение!W8)</f>
        <v>239.29333118940158</v>
      </c>
    </row>
    <row r="8" spans="1:24" x14ac:dyDescent="0.2">
      <c r="B8" s="290" t="s">
        <v>532</v>
      </c>
      <c r="C8" s="288"/>
      <c r="D8" s="14"/>
      <c r="E8" s="288"/>
    </row>
    <row r="9" spans="1:24" x14ac:dyDescent="0.2">
      <c r="B9" s="288"/>
      <c r="C9" s="288" t="s">
        <v>130</v>
      </c>
      <c r="D9" s="14" t="s">
        <v>135</v>
      </c>
      <c r="E9" s="287">
        <v>1</v>
      </c>
      <c r="F9" s="29">
        <f>E9</f>
        <v>1</v>
      </c>
      <c r="G9" s="29">
        <v>1</v>
      </c>
      <c r="H9" s="29">
        <f t="shared" ref="H9:X9" si="1">G9</f>
        <v>1</v>
      </c>
      <c r="I9" s="29">
        <v>2</v>
      </c>
      <c r="J9" s="29">
        <f t="shared" si="1"/>
        <v>2</v>
      </c>
      <c r="K9" s="29">
        <f t="shared" si="1"/>
        <v>2</v>
      </c>
      <c r="L9" s="29">
        <f t="shared" si="1"/>
        <v>2</v>
      </c>
      <c r="M9" s="29">
        <f t="shared" si="1"/>
        <v>2</v>
      </c>
      <c r="N9" s="29">
        <f t="shared" si="1"/>
        <v>2</v>
      </c>
      <c r="O9" s="29">
        <f t="shared" si="1"/>
        <v>2</v>
      </c>
      <c r="P9" s="29">
        <f t="shared" si="1"/>
        <v>2</v>
      </c>
      <c r="Q9" s="29">
        <f t="shared" si="1"/>
        <v>2</v>
      </c>
      <c r="R9" s="29">
        <f t="shared" si="1"/>
        <v>2</v>
      </c>
      <c r="S9" s="29">
        <f t="shared" si="1"/>
        <v>2</v>
      </c>
      <c r="T9" s="29">
        <f t="shared" si="1"/>
        <v>2</v>
      </c>
      <c r="U9" s="29">
        <f t="shared" si="1"/>
        <v>2</v>
      </c>
      <c r="V9" s="29">
        <f t="shared" si="1"/>
        <v>2</v>
      </c>
      <c r="W9" s="29">
        <f t="shared" si="1"/>
        <v>2</v>
      </c>
      <c r="X9" s="29">
        <f t="shared" si="1"/>
        <v>2</v>
      </c>
    </row>
    <row r="10" spans="1:24" x14ac:dyDescent="0.2">
      <c r="B10" s="288"/>
      <c r="C10" s="288" t="s">
        <v>27</v>
      </c>
      <c r="D10" s="14" t="s">
        <v>117</v>
      </c>
      <c r="E10" s="314">
        <v>165</v>
      </c>
      <c r="F10" s="29">
        <f>E10*(1+Окружение!E8)</f>
        <v>168.01035918126405</v>
      </c>
      <c r="G10" s="29">
        <f>F10*(1+Окружение!F8)</f>
        <v>171.07564116495368</v>
      </c>
      <c r="H10" s="29">
        <f>G10*(1+Окружение!G8)</f>
        <v>174.19684799569035</v>
      </c>
      <c r="I10" s="29">
        <f>H10*(1+Окружение!H8)</f>
        <v>177.47803518721651</v>
      </c>
      <c r="J10" s="29">
        <f>I10*(1+Окружение!I8)</f>
        <v>180.82102711005504</v>
      </c>
      <c r="K10" s="29">
        <f>J10*(1+Окружение!J8)</f>
        <v>184.22698792357559</v>
      </c>
      <c r="L10" s="29">
        <f>K10*(1+Окружение!K8)</f>
        <v>187.69710371535638</v>
      </c>
      <c r="M10" s="29">
        <f>L10*(1+Окружение!L8)</f>
        <v>190.45134214157841</v>
      </c>
      <c r="N10" s="29">
        <f>M10*(1+Окружение!M8)</f>
        <v>193.24599583877864</v>
      </c>
      <c r="O10" s="29">
        <f>N10*(1+Окружение!N8)</f>
        <v>196.08165785442625</v>
      </c>
      <c r="P10" s="29">
        <f>O10*(1+Окружение!O8)</f>
        <v>198.95892993827778</v>
      </c>
      <c r="Q10" s="29">
        <f>P10*(1+Окружение!P8)</f>
        <v>201.40060056823114</v>
      </c>
      <c r="R10" s="29">
        <f>Q10*(1+Окружение!Q8)</f>
        <v>203.87223595255378</v>
      </c>
      <c r="S10" s="29">
        <f>R10*(1+Окружение!R8)</f>
        <v>206.37420382573595</v>
      </c>
      <c r="T10" s="29">
        <f>S10*(1+Окружение!S8)</f>
        <v>208.90687643519172</v>
      </c>
      <c r="U10" s="29">
        <f>T10*(1+Окружение!T8)</f>
        <v>211.47063059664274</v>
      </c>
      <c r="V10" s="29">
        <f>U10*(1+Окружение!U8)</f>
        <v>214.06584775018152</v>
      </c>
      <c r="W10" s="29">
        <f>V10*(1+Окружение!V8)</f>
        <v>216.69291401702279</v>
      </c>
      <c r="X10" s="29">
        <f>W10*(1+Окружение!W8)</f>
        <v>219.35222025695137</v>
      </c>
    </row>
    <row r="11" spans="1:24" x14ac:dyDescent="0.2">
      <c r="B11" s="290" t="s">
        <v>533</v>
      </c>
      <c r="C11" s="288"/>
      <c r="D11" s="14"/>
      <c r="E11" s="315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spans="1:24" x14ac:dyDescent="0.2">
      <c r="B12" s="288"/>
      <c r="C12" s="288" t="s">
        <v>130</v>
      </c>
      <c r="D12" s="14" t="s">
        <v>135</v>
      </c>
      <c r="E12" s="314">
        <v>1</v>
      </c>
      <c r="F12" s="29">
        <f>E12</f>
        <v>1</v>
      </c>
      <c r="G12" s="29">
        <f t="shared" ref="G12:X12" si="2">F12</f>
        <v>1</v>
      </c>
      <c r="H12" s="29">
        <f t="shared" si="2"/>
        <v>1</v>
      </c>
      <c r="I12" s="29">
        <v>2</v>
      </c>
      <c r="J12" s="29">
        <f t="shared" si="2"/>
        <v>2</v>
      </c>
      <c r="K12" s="29">
        <f t="shared" si="2"/>
        <v>2</v>
      </c>
      <c r="L12" s="29">
        <f t="shared" si="2"/>
        <v>2</v>
      </c>
      <c r="M12" s="29">
        <f t="shared" si="2"/>
        <v>2</v>
      </c>
      <c r="N12" s="29">
        <f t="shared" si="2"/>
        <v>2</v>
      </c>
      <c r="O12" s="29">
        <f t="shared" si="2"/>
        <v>2</v>
      </c>
      <c r="P12" s="29">
        <f t="shared" si="2"/>
        <v>2</v>
      </c>
      <c r="Q12" s="29">
        <f t="shared" si="2"/>
        <v>2</v>
      </c>
      <c r="R12" s="29">
        <f t="shared" si="2"/>
        <v>2</v>
      </c>
      <c r="S12" s="29">
        <f t="shared" si="2"/>
        <v>2</v>
      </c>
      <c r="T12" s="29">
        <f t="shared" si="2"/>
        <v>2</v>
      </c>
      <c r="U12" s="29">
        <f t="shared" si="2"/>
        <v>2</v>
      </c>
      <c r="V12" s="29">
        <f t="shared" si="2"/>
        <v>2</v>
      </c>
      <c r="W12" s="29">
        <f t="shared" si="2"/>
        <v>2</v>
      </c>
      <c r="X12" s="29">
        <f t="shared" si="2"/>
        <v>2</v>
      </c>
    </row>
    <row r="13" spans="1:24" x14ac:dyDescent="0.2">
      <c r="B13" s="288"/>
      <c r="C13" s="288" t="s">
        <v>27</v>
      </c>
      <c r="D13" s="14" t="s">
        <v>117</v>
      </c>
      <c r="E13" s="314">
        <v>45</v>
      </c>
      <c r="F13" s="29">
        <f>E13*(1+Окружение!E8)</f>
        <v>45.82100704943565</v>
      </c>
      <c r="G13" s="29">
        <f>F13*(1+Окружение!F8)</f>
        <v>46.656993044987367</v>
      </c>
      <c r="H13" s="29">
        <f>G13*(1+Окружение!G8)</f>
        <v>47.508231271551914</v>
      </c>
      <c r="I13" s="29">
        <f>H13*(1+Окружение!H8)</f>
        <v>48.403100505604506</v>
      </c>
      <c r="J13" s="29">
        <f>I13*(1+Окружение!I8)</f>
        <v>49.314825575469563</v>
      </c>
      <c r="K13" s="29">
        <f>J13*(1+Окружение!J8)</f>
        <v>50.243723979156989</v>
      </c>
      <c r="L13" s="29">
        <f>K13*(1+Окружение!K8)</f>
        <v>51.190119195097203</v>
      </c>
      <c r="M13" s="29">
        <f>L13*(1+Окружение!L8)</f>
        <v>51.941275129521394</v>
      </c>
      <c r="N13" s="29">
        <f>M13*(1+Окружение!M8)</f>
        <v>52.703453410576003</v>
      </c>
      <c r="O13" s="29">
        <f>N13*(1+Окружение!N8)</f>
        <v>53.476815778479896</v>
      </c>
      <c r="P13" s="29">
        <f>O13*(1+Окружение!O8)</f>
        <v>54.261526346803045</v>
      </c>
      <c r="Q13" s="29">
        <f>P13*(1+Окружение!P8)</f>
        <v>54.927436518608509</v>
      </c>
      <c r="R13" s="29">
        <f>Q13*(1+Окружение!Q8)</f>
        <v>55.601518896151049</v>
      </c>
      <c r="S13" s="29">
        <f>R13*(1+Окружение!R8)</f>
        <v>56.283873770655276</v>
      </c>
      <c r="T13" s="29">
        <f>S13*(1+Окружение!S8)</f>
        <v>56.974602664143219</v>
      </c>
      <c r="U13" s="29">
        <f>T13*(1+Окружение!T8)</f>
        <v>57.673808344538955</v>
      </c>
      <c r="V13" s="29">
        <f>U13*(1+Окружение!U8)</f>
        <v>58.38159484095862</v>
      </c>
      <c r="W13" s="29">
        <f>V13*(1+Окружение!V8)</f>
        <v>59.098067459188059</v>
      </c>
      <c r="X13" s="29">
        <f>W13*(1+Окружение!W8)</f>
        <v>59.823332797350396</v>
      </c>
    </row>
    <row r="14" spans="1:24" x14ac:dyDescent="0.2">
      <c r="B14" s="291" t="s">
        <v>378</v>
      </c>
      <c r="C14" s="288"/>
      <c r="D14" s="14"/>
      <c r="E14" s="316"/>
    </row>
    <row r="15" spans="1:24" x14ac:dyDescent="0.2">
      <c r="B15" s="288"/>
      <c r="C15" s="288" t="s">
        <v>130</v>
      </c>
      <c r="D15" s="14" t="s">
        <v>135</v>
      </c>
      <c r="E15" s="287">
        <v>0</v>
      </c>
      <c r="F15" s="29">
        <f>E15</f>
        <v>0</v>
      </c>
      <c r="G15" s="29">
        <f t="shared" ref="G15:X15" si="3">F15</f>
        <v>0</v>
      </c>
      <c r="H15" s="29">
        <f t="shared" si="3"/>
        <v>0</v>
      </c>
      <c r="I15" s="29">
        <f t="shared" si="3"/>
        <v>0</v>
      </c>
      <c r="J15" s="29">
        <f t="shared" si="3"/>
        <v>0</v>
      </c>
      <c r="K15" s="29">
        <f t="shared" si="3"/>
        <v>0</v>
      </c>
      <c r="L15" s="29">
        <f t="shared" si="3"/>
        <v>0</v>
      </c>
      <c r="M15" s="29">
        <f t="shared" si="3"/>
        <v>0</v>
      </c>
      <c r="N15" s="29">
        <f t="shared" si="3"/>
        <v>0</v>
      </c>
      <c r="O15" s="29">
        <f t="shared" si="3"/>
        <v>0</v>
      </c>
      <c r="P15" s="29">
        <f t="shared" si="3"/>
        <v>0</v>
      </c>
      <c r="Q15" s="29">
        <f t="shared" si="3"/>
        <v>0</v>
      </c>
      <c r="R15" s="29">
        <f t="shared" si="3"/>
        <v>0</v>
      </c>
      <c r="S15" s="29">
        <f t="shared" si="3"/>
        <v>0</v>
      </c>
      <c r="T15" s="29">
        <f t="shared" si="3"/>
        <v>0</v>
      </c>
      <c r="U15" s="29">
        <f t="shared" si="3"/>
        <v>0</v>
      </c>
      <c r="V15" s="29">
        <f t="shared" si="3"/>
        <v>0</v>
      </c>
      <c r="W15" s="29">
        <f t="shared" si="3"/>
        <v>0</v>
      </c>
      <c r="X15" s="29">
        <f t="shared" si="3"/>
        <v>0</v>
      </c>
    </row>
    <row r="16" spans="1:24" x14ac:dyDescent="0.2">
      <c r="B16" s="288"/>
      <c r="C16" s="288" t="s">
        <v>27</v>
      </c>
      <c r="D16" s="14" t="s">
        <v>117</v>
      </c>
      <c r="E16" s="289">
        <v>0</v>
      </c>
      <c r="F16" s="79">
        <f>E16*(1+Окружение!E8)</f>
        <v>0</v>
      </c>
      <c r="G16" s="79">
        <f>F16*(1+Окружение!F8)</f>
        <v>0</v>
      </c>
      <c r="H16" s="79">
        <f>G16*(1+Окружение!G8)</f>
        <v>0</v>
      </c>
      <c r="I16" s="79">
        <f>H16*(1+Окружение!H8)</f>
        <v>0</v>
      </c>
      <c r="J16" s="79">
        <f>I16*(1+Окружение!I8)</f>
        <v>0</v>
      </c>
      <c r="K16" s="79">
        <f>J16*(1+Окружение!J8)</f>
        <v>0</v>
      </c>
      <c r="L16" s="79">
        <f>K16*(1+Окружение!K8)</f>
        <v>0</v>
      </c>
      <c r="M16" s="79">
        <f>L16*(1+Окружение!L8)</f>
        <v>0</v>
      </c>
      <c r="N16" s="79">
        <f>M16*(1+Окружение!M8)</f>
        <v>0</v>
      </c>
      <c r="O16" s="79">
        <f>N16*(1+Окружение!N8)</f>
        <v>0</v>
      </c>
      <c r="P16" s="79">
        <f>O16*(1+Окружение!O8)</f>
        <v>0</v>
      </c>
      <c r="Q16" s="79">
        <f>P16*(1+Окружение!P8)</f>
        <v>0</v>
      </c>
      <c r="R16" s="79">
        <f>Q16*(1+Окружение!Q8)</f>
        <v>0</v>
      </c>
      <c r="S16" s="79">
        <f>R16*(1+Окружение!R8)</f>
        <v>0</v>
      </c>
      <c r="T16" s="79">
        <f>S16*(1+Окружение!S8)</f>
        <v>0</v>
      </c>
      <c r="U16" s="79">
        <f>T16*(1+Окружение!T8)</f>
        <v>0</v>
      </c>
      <c r="V16" s="79">
        <f>U16*(1+Окружение!U8)</f>
        <v>0</v>
      </c>
      <c r="W16" s="79">
        <f>V16*(1+Окружение!V8)</f>
        <v>0</v>
      </c>
      <c r="X16" s="79">
        <f>W16*(1+Окружение!W8)</f>
        <v>0</v>
      </c>
    </row>
    <row r="17" spans="1:24" x14ac:dyDescent="0.2">
      <c r="B17" s="28" t="s">
        <v>131</v>
      </c>
      <c r="D17" s="14" t="s">
        <v>135</v>
      </c>
      <c r="E17" s="31">
        <f>E6+E9+E15+E12</f>
        <v>3</v>
      </c>
      <c r="F17" s="31">
        <f t="shared" ref="F17:X17" si="4">F6+F9+F15+F12</f>
        <v>3</v>
      </c>
      <c r="G17" s="31">
        <f t="shared" si="4"/>
        <v>3</v>
      </c>
      <c r="H17" s="31">
        <f t="shared" si="4"/>
        <v>3</v>
      </c>
      <c r="I17" s="31">
        <f t="shared" si="4"/>
        <v>6</v>
      </c>
      <c r="J17" s="31">
        <f t="shared" si="4"/>
        <v>6</v>
      </c>
      <c r="K17" s="31">
        <f t="shared" si="4"/>
        <v>6</v>
      </c>
      <c r="L17" s="31">
        <f t="shared" si="4"/>
        <v>6</v>
      </c>
      <c r="M17" s="31">
        <f t="shared" si="4"/>
        <v>6</v>
      </c>
      <c r="N17" s="31">
        <f t="shared" si="4"/>
        <v>6</v>
      </c>
      <c r="O17" s="31">
        <f t="shared" si="4"/>
        <v>6</v>
      </c>
      <c r="P17" s="31">
        <f t="shared" si="4"/>
        <v>6</v>
      </c>
      <c r="Q17" s="31">
        <f t="shared" si="4"/>
        <v>6</v>
      </c>
      <c r="R17" s="31">
        <f t="shared" si="4"/>
        <v>6</v>
      </c>
      <c r="S17" s="31">
        <f t="shared" si="4"/>
        <v>6</v>
      </c>
      <c r="T17" s="31">
        <f t="shared" si="4"/>
        <v>6</v>
      </c>
      <c r="U17" s="31">
        <f t="shared" si="4"/>
        <v>6</v>
      </c>
      <c r="V17" s="31">
        <f t="shared" si="4"/>
        <v>6</v>
      </c>
      <c r="W17" s="31">
        <f t="shared" si="4"/>
        <v>6</v>
      </c>
      <c r="X17" s="31">
        <f t="shared" si="4"/>
        <v>6</v>
      </c>
    </row>
    <row r="18" spans="1:24" x14ac:dyDescent="0.2">
      <c r="B18" s="28" t="s">
        <v>136</v>
      </c>
      <c r="D18" s="14" t="s">
        <v>117</v>
      </c>
      <c r="E18" s="31">
        <f>E6*E7*3+E9*E10*3+E15*E16*3+E12*E13*3</f>
        <v>1170</v>
      </c>
      <c r="F18" s="31">
        <f t="shared" ref="F18:X18" si="5">F6*F7*3+F9*F10*3+F15*F16*3+F12*F13*3</f>
        <v>1191.346183285327</v>
      </c>
      <c r="G18" s="31">
        <f t="shared" si="5"/>
        <v>1213.0818191696715</v>
      </c>
      <c r="H18" s="31">
        <f t="shared" si="5"/>
        <v>1235.2140130603498</v>
      </c>
      <c r="I18" s="31">
        <f t="shared" si="5"/>
        <v>2516.9612262914343</v>
      </c>
      <c r="J18" s="31">
        <f t="shared" si="5"/>
        <v>2564.3709299244169</v>
      </c>
      <c r="K18" s="31">
        <f t="shared" si="5"/>
        <v>2612.6736469161629</v>
      </c>
      <c r="L18" s="31">
        <f t="shared" si="5"/>
        <v>2661.8861981450545</v>
      </c>
      <c r="M18" s="31">
        <f t="shared" si="5"/>
        <v>2700.9463067351126</v>
      </c>
      <c r="N18" s="31">
        <f t="shared" si="5"/>
        <v>2740.5795773499522</v>
      </c>
      <c r="O18" s="31">
        <f t="shared" si="5"/>
        <v>2780.7944204809546</v>
      </c>
      <c r="P18" s="31">
        <f t="shared" si="5"/>
        <v>2821.5993700337581</v>
      </c>
      <c r="Q18" s="31">
        <f t="shared" si="5"/>
        <v>2856.2266989676423</v>
      </c>
      <c r="R18" s="31">
        <f t="shared" si="5"/>
        <v>2891.2789825998543</v>
      </c>
      <c r="S18" s="31">
        <f t="shared" si="5"/>
        <v>2926.761436074074</v>
      </c>
      <c r="T18" s="31">
        <f t="shared" si="5"/>
        <v>2962.6793385354467</v>
      </c>
      <c r="U18" s="31">
        <f t="shared" si="5"/>
        <v>2999.0380339160251</v>
      </c>
      <c r="V18" s="31">
        <f t="shared" si="5"/>
        <v>3035.8429317298478</v>
      </c>
      <c r="W18" s="31">
        <f t="shared" si="5"/>
        <v>3073.0995078777787</v>
      </c>
      <c r="X18" s="31">
        <f t="shared" si="5"/>
        <v>3110.8133054622199</v>
      </c>
    </row>
    <row r="19" spans="1:24" x14ac:dyDescent="0.2">
      <c r="D19" s="14"/>
      <c r="E19" s="100"/>
    </row>
    <row r="20" spans="1:24" x14ac:dyDescent="0.2">
      <c r="A20" s="25" t="s">
        <v>132</v>
      </c>
      <c r="B20" s="10"/>
      <c r="D20" s="14"/>
      <c r="E20" s="100"/>
    </row>
    <row r="21" spans="1:24" x14ac:dyDescent="0.2">
      <c r="B21" s="290" t="s">
        <v>534</v>
      </c>
      <c r="C21" s="288"/>
      <c r="D21" s="14"/>
      <c r="E21" s="100"/>
    </row>
    <row r="22" spans="1:24" x14ac:dyDescent="0.2">
      <c r="B22" s="288"/>
      <c r="C22" s="288" t="s">
        <v>130</v>
      </c>
      <c r="D22" s="14" t="s">
        <v>135</v>
      </c>
      <c r="E22" s="314">
        <v>1</v>
      </c>
      <c r="F22" s="29">
        <f>E22</f>
        <v>1</v>
      </c>
      <c r="G22" s="29">
        <f t="shared" ref="G22:X22" si="6">F22</f>
        <v>1</v>
      </c>
      <c r="H22" s="29">
        <f t="shared" si="6"/>
        <v>1</v>
      </c>
      <c r="I22" s="29">
        <f t="shared" si="6"/>
        <v>1</v>
      </c>
      <c r="J22" s="29">
        <f t="shared" si="6"/>
        <v>1</v>
      </c>
      <c r="K22" s="29">
        <f t="shared" si="6"/>
        <v>1</v>
      </c>
      <c r="L22" s="29">
        <f t="shared" si="6"/>
        <v>1</v>
      </c>
      <c r="M22" s="29">
        <f t="shared" si="6"/>
        <v>1</v>
      </c>
      <c r="N22" s="29">
        <f t="shared" si="6"/>
        <v>1</v>
      </c>
      <c r="O22" s="29">
        <f t="shared" si="6"/>
        <v>1</v>
      </c>
      <c r="P22" s="29">
        <f t="shared" si="6"/>
        <v>1</v>
      </c>
      <c r="Q22" s="29">
        <f t="shared" si="6"/>
        <v>1</v>
      </c>
      <c r="R22" s="29">
        <f t="shared" si="6"/>
        <v>1</v>
      </c>
      <c r="S22" s="29">
        <f t="shared" si="6"/>
        <v>1</v>
      </c>
      <c r="T22" s="29">
        <f t="shared" si="6"/>
        <v>1</v>
      </c>
      <c r="U22" s="29">
        <f t="shared" si="6"/>
        <v>1</v>
      </c>
      <c r="V22" s="29">
        <f t="shared" si="6"/>
        <v>1</v>
      </c>
      <c r="W22" s="29">
        <f t="shared" si="6"/>
        <v>1</v>
      </c>
      <c r="X22" s="29">
        <f t="shared" si="6"/>
        <v>1</v>
      </c>
    </row>
    <row r="23" spans="1:24" x14ac:dyDescent="0.2">
      <c r="B23" s="288"/>
      <c r="C23" s="288" t="s">
        <v>27</v>
      </c>
      <c r="D23" s="14" t="s">
        <v>117</v>
      </c>
      <c r="E23" s="314">
        <v>36</v>
      </c>
      <c r="F23" s="29">
        <f>E23*(1+Окружение!E8)</f>
        <v>36.656805639548516</v>
      </c>
      <c r="G23" s="29">
        <f>F23*(1+Окружение!F8)</f>
        <v>37.325594435989885</v>
      </c>
      <c r="H23" s="29">
        <f>G23*(1+Окружение!G8)</f>
        <v>38.00658501724152</v>
      </c>
      <c r="I23" s="29">
        <f>H23*(1+Окружение!H8)</f>
        <v>38.722480404483591</v>
      </c>
      <c r="J23" s="29">
        <f>I23*(1+Окружение!I8)</f>
        <v>39.451860460375634</v>
      </c>
      <c r="K23" s="29">
        <f>J23*(1+Окружение!J8)</f>
        <v>40.194979183325572</v>
      </c>
      <c r="L23" s="29">
        <f>K23*(1+Окружение!K8)</f>
        <v>40.952095356077741</v>
      </c>
      <c r="M23" s="29">
        <f>L23*(1+Окружение!L8)</f>
        <v>41.553020103617094</v>
      </c>
      <c r="N23" s="29">
        <f>M23*(1+Окружение!M8)</f>
        <v>42.162762728460777</v>
      </c>
      <c r="O23" s="29">
        <f>N23*(1+Окружение!N8)</f>
        <v>42.781452622783895</v>
      </c>
      <c r="P23" s="29">
        <f>O23*(1+Окружение!O8)</f>
        <v>43.40922107744241</v>
      </c>
      <c r="Q23" s="29">
        <f>P23*(1+Окружение!P8)</f>
        <v>43.941949214886783</v>
      </c>
      <c r="R23" s="29">
        <f>Q23*(1+Окружение!Q8)</f>
        <v>44.481215116920815</v>
      </c>
      <c r="S23" s="29">
        <f>R23*(1+Окружение!R8)</f>
        <v>45.027099016524197</v>
      </c>
      <c r="T23" s="29">
        <f>S23*(1+Окружение!S8)</f>
        <v>45.579682131314549</v>
      </c>
      <c r="U23" s="29">
        <f>T23*(1+Окружение!T8)</f>
        <v>46.139046675631135</v>
      </c>
      <c r="V23" s="29">
        <f>U23*(1+Окружение!U8)</f>
        <v>46.705275872766869</v>
      </c>
      <c r="W23" s="29">
        <f>V23*(1+Окружение!V8)</f>
        <v>47.278453967350423</v>
      </c>
      <c r="X23" s="29">
        <f>W23*(1+Окружение!W8)</f>
        <v>47.858666237880293</v>
      </c>
    </row>
    <row r="24" spans="1:24" x14ac:dyDescent="0.2">
      <c r="B24" s="290" t="s">
        <v>535</v>
      </c>
      <c r="C24" s="288"/>
      <c r="D24" s="14"/>
      <c r="E24" s="316"/>
    </row>
    <row r="25" spans="1:24" x14ac:dyDescent="0.2">
      <c r="B25" s="288"/>
      <c r="C25" s="288" t="s">
        <v>130</v>
      </c>
      <c r="D25" s="14" t="s">
        <v>135</v>
      </c>
      <c r="E25" s="314">
        <v>1</v>
      </c>
      <c r="F25" s="29">
        <f>E25</f>
        <v>1</v>
      </c>
      <c r="G25" s="29">
        <f t="shared" ref="G25:X25" si="7">F25</f>
        <v>1</v>
      </c>
      <c r="H25" s="29">
        <f t="shared" si="7"/>
        <v>1</v>
      </c>
      <c r="I25" s="29">
        <f t="shared" si="7"/>
        <v>1</v>
      </c>
      <c r="J25" s="29">
        <f t="shared" si="7"/>
        <v>1</v>
      </c>
      <c r="K25" s="29">
        <f t="shared" si="7"/>
        <v>1</v>
      </c>
      <c r="L25" s="29">
        <f t="shared" si="7"/>
        <v>1</v>
      </c>
      <c r="M25" s="29">
        <f t="shared" si="7"/>
        <v>1</v>
      </c>
      <c r="N25" s="29">
        <f t="shared" si="7"/>
        <v>1</v>
      </c>
      <c r="O25" s="29">
        <f t="shared" si="7"/>
        <v>1</v>
      </c>
      <c r="P25" s="29">
        <f t="shared" si="7"/>
        <v>1</v>
      </c>
      <c r="Q25" s="29">
        <f t="shared" si="7"/>
        <v>1</v>
      </c>
      <c r="R25" s="29">
        <f t="shared" si="7"/>
        <v>1</v>
      </c>
      <c r="S25" s="29">
        <f t="shared" si="7"/>
        <v>1</v>
      </c>
      <c r="T25" s="29">
        <f t="shared" si="7"/>
        <v>1</v>
      </c>
      <c r="U25" s="29">
        <f t="shared" si="7"/>
        <v>1</v>
      </c>
      <c r="V25" s="29">
        <f t="shared" si="7"/>
        <v>1</v>
      </c>
      <c r="W25" s="29">
        <f t="shared" si="7"/>
        <v>1</v>
      </c>
      <c r="X25" s="29">
        <f t="shared" si="7"/>
        <v>1</v>
      </c>
    </row>
    <row r="26" spans="1:24" x14ac:dyDescent="0.2">
      <c r="B26" s="288"/>
      <c r="C26" s="288" t="s">
        <v>27</v>
      </c>
      <c r="D26" s="14" t="s">
        <v>117</v>
      </c>
      <c r="E26" s="314">
        <v>42</v>
      </c>
      <c r="F26" s="29">
        <f>E26*(1+Окружение!E8)</f>
        <v>42.766273246139939</v>
      </c>
      <c r="G26" s="29">
        <f>F26*(1+Окружение!F8)</f>
        <v>43.546526841988204</v>
      </c>
      <c r="H26" s="29">
        <f>G26*(1+Окружение!G8)</f>
        <v>44.341015853448447</v>
      </c>
      <c r="I26" s="29">
        <f>H26*(1+Окружение!H8)</f>
        <v>45.176227138564194</v>
      </c>
      <c r="J26" s="29">
        <f>I26*(1+Окружение!I8)</f>
        <v>46.027170537104908</v>
      </c>
      <c r="K26" s="29">
        <f>J26*(1+Окружение!J8)</f>
        <v>46.894142380546505</v>
      </c>
      <c r="L26" s="29">
        <f>K26*(1+Окружение!K8)</f>
        <v>47.777444582090702</v>
      </c>
      <c r="M26" s="29">
        <f>L26*(1+Окружение!L8)</f>
        <v>48.478523454219946</v>
      </c>
      <c r="N26" s="29">
        <f>M26*(1+Окружение!M8)</f>
        <v>49.189889849870909</v>
      </c>
      <c r="O26" s="29">
        <f>N26*(1+Окружение!N8)</f>
        <v>49.91169472658121</v>
      </c>
      <c r="P26" s="29">
        <f>O26*(1+Окружение!O8)</f>
        <v>50.644091257016143</v>
      </c>
      <c r="Q26" s="29">
        <f>P26*(1+Окружение!P8)</f>
        <v>51.26560741736791</v>
      </c>
      <c r="R26" s="29">
        <f>Q26*(1+Окружение!Q8)</f>
        <v>51.894750969740947</v>
      </c>
      <c r="S26" s="29">
        <f>R26*(1+Окружение!R8)</f>
        <v>52.531615519278226</v>
      </c>
      <c r="T26" s="29">
        <f>S26*(1+Окружение!S8)</f>
        <v>53.176295819866972</v>
      </c>
      <c r="U26" s="29">
        <f>T26*(1+Окружение!T8)</f>
        <v>53.828887788236322</v>
      </c>
      <c r="V26" s="29">
        <f>U26*(1+Окружение!U8)</f>
        <v>54.489488518228015</v>
      </c>
      <c r="W26" s="29">
        <f>V26*(1+Окружение!V8)</f>
        <v>55.158196295242156</v>
      </c>
      <c r="X26" s="29">
        <f>W26*(1+Окружение!W8)</f>
        <v>55.83511061086034</v>
      </c>
    </row>
    <row r="27" spans="1:24" x14ac:dyDescent="0.2">
      <c r="B27" s="290" t="s">
        <v>65</v>
      </c>
      <c r="C27" s="288"/>
      <c r="D27" s="14"/>
      <c r="E27" s="316"/>
    </row>
    <row r="28" spans="1:24" x14ac:dyDescent="0.2">
      <c r="B28" s="288"/>
      <c r="C28" s="288" t="s">
        <v>130</v>
      </c>
      <c r="D28" s="14" t="s">
        <v>135</v>
      </c>
      <c r="E28" s="314">
        <v>1</v>
      </c>
      <c r="F28" s="29">
        <f>E28</f>
        <v>1</v>
      </c>
      <c r="G28" s="29">
        <f t="shared" ref="G28:X28" si="8">F28</f>
        <v>1</v>
      </c>
      <c r="H28" s="29">
        <f t="shared" si="8"/>
        <v>1</v>
      </c>
      <c r="I28" s="29">
        <v>2</v>
      </c>
      <c r="J28" s="29">
        <f t="shared" si="8"/>
        <v>2</v>
      </c>
      <c r="K28" s="29">
        <f t="shared" si="8"/>
        <v>2</v>
      </c>
      <c r="L28" s="29">
        <f t="shared" si="8"/>
        <v>2</v>
      </c>
      <c r="M28" s="29">
        <f t="shared" si="8"/>
        <v>2</v>
      </c>
      <c r="N28" s="29">
        <f t="shared" si="8"/>
        <v>2</v>
      </c>
      <c r="O28" s="29">
        <f t="shared" si="8"/>
        <v>2</v>
      </c>
      <c r="P28" s="29">
        <f t="shared" si="8"/>
        <v>2</v>
      </c>
      <c r="Q28" s="29">
        <f t="shared" si="8"/>
        <v>2</v>
      </c>
      <c r="R28" s="29">
        <f t="shared" si="8"/>
        <v>2</v>
      </c>
      <c r="S28" s="29">
        <f t="shared" si="8"/>
        <v>2</v>
      </c>
      <c r="T28" s="29">
        <f t="shared" si="8"/>
        <v>2</v>
      </c>
      <c r="U28" s="29">
        <f t="shared" si="8"/>
        <v>2</v>
      </c>
      <c r="V28" s="29">
        <f t="shared" si="8"/>
        <v>2</v>
      </c>
      <c r="W28" s="29">
        <f t="shared" si="8"/>
        <v>2</v>
      </c>
      <c r="X28" s="29">
        <f t="shared" si="8"/>
        <v>2</v>
      </c>
    </row>
    <row r="29" spans="1:24" x14ac:dyDescent="0.2">
      <c r="B29" s="288"/>
      <c r="C29" s="288" t="s">
        <v>27</v>
      </c>
      <c r="D29" s="14" t="s">
        <v>117</v>
      </c>
      <c r="E29" s="314">
        <v>60</v>
      </c>
      <c r="F29" s="29">
        <f>E29*(1+Окружение!E8)</f>
        <v>61.0946760659142</v>
      </c>
      <c r="G29" s="29">
        <f>F29*(1+Окружение!F8)</f>
        <v>62.209324059983153</v>
      </c>
      <c r="H29" s="29">
        <f>G29*(1+Окружение!G8)</f>
        <v>63.344308362069214</v>
      </c>
      <c r="I29" s="29">
        <f>H29*(1+Окружение!H8)</f>
        <v>64.537467340806003</v>
      </c>
      <c r="J29" s="29">
        <f>I29*(1+Окружение!I8)</f>
        <v>65.753100767292736</v>
      </c>
      <c r="K29" s="29">
        <f>J29*(1+Окружение!J8)</f>
        <v>66.991631972209305</v>
      </c>
      <c r="L29" s="29">
        <f>K29*(1+Окружение!K8)</f>
        <v>68.25349226012959</v>
      </c>
      <c r="M29" s="29">
        <f>L29*(1+Окружение!L8)</f>
        <v>69.255033506028511</v>
      </c>
      <c r="N29" s="29">
        <f>M29*(1+Окружение!M8)</f>
        <v>70.271271214101318</v>
      </c>
      <c r="O29" s="29">
        <f>N29*(1+Окружение!N8)</f>
        <v>71.302421037973176</v>
      </c>
      <c r="P29" s="29">
        <f>O29*(1+Окружение!O8)</f>
        <v>72.348701795737369</v>
      </c>
      <c r="Q29" s="29">
        <f>P29*(1+Окружение!P8)</f>
        <v>73.236582024811312</v>
      </c>
      <c r="R29" s="29">
        <f>Q29*(1+Окружение!Q8)</f>
        <v>74.135358528201365</v>
      </c>
      <c r="S29" s="29">
        <f>R29*(1+Окружение!R8)</f>
        <v>75.045165027540335</v>
      </c>
      <c r="T29" s="29">
        <f>S29*(1+Окружение!S8)</f>
        <v>75.96613688552425</v>
      </c>
      <c r="U29" s="29">
        <f>T29*(1+Окружение!T8)</f>
        <v>76.898411126051897</v>
      </c>
      <c r="V29" s="29">
        <f>U29*(1+Окружение!U8)</f>
        <v>77.84212645461146</v>
      </c>
      <c r="W29" s="29">
        <f>V29*(1+Окружение!V8)</f>
        <v>78.797423278917378</v>
      </c>
      <c r="X29" s="29">
        <f>W29*(1+Окружение!W8)</f>
        <v>79.76444372980049</v>
      </c>
    </row>
    <row r="30" spans="1:24" x14ac:dyDescent="0.2">
      <c r="B30" s="28" t="s">
        <v>131</v>
      </c>
      <c r="D30" s="14" t="s">
        <v>135</v>
      </c>
      <c r="E30" s="84">
        <f>E22+E25+E28</f>
        <v>3</v>
      </c>
      <c r="F30" s="31">
        <f>F22+F25+F28</f>
        <v>3</v>
      </c>
      <c r="G30" s="31">
        <f t="shared" ref="G30:X30" si="9">G22+G25+G28</f>
        <v>3</v>
      </c>
      <c r="H30" s="31">
        <f t="shared" si="9"/>
        <v>3</v>
      </c>
      <c r="I30" s="31">
        <f t="shared" si="9"/>
        <v>4</v>
      </c>
      <c r="J30" s="31">
        <f t="shared" si="9"/>
        <v>4</v>
      </c>
      <c r="K30" s="31">
        <f t="shared" si="9"/>
        <v>4</v>
      </c>
      <c r="L30" s="31">
        <f t="shared" si="9"/>
        <v>4</v>
      </c>
      <c r="M30" s="31">
        <f t="shared" si="9"/>
        <v>4</v>
      </c>
      <c r="N30" s="31">
        <f t="shared" si="9"/>
        <v>4</v>
      </c>
      <c r="O30" s="31">
        <f t="shared" si="9"/>
        <v>4</v>
      </c>
      <c r="P30" s="31">
        <f t="shared" si="9"/>
        <v>4</v>
      </c>
      <c r="Q30" s="31">
        <f t="shared" si="9"/>
        <v>4</v>
      </c>
      <c r="R30" s="31">
        <f t="shared" si="9"/>
        <v>4</v>
      </c>
      <c r="S30" s="31">
        <f t="shared" si="9"/>
        <v>4</v>
      </c>
      <c r="T30" s="31">
        <f t="shared" si="9"/>
        <v>4</v>
      </c>
      <c r="U30" s="31">
        <f t="shared" si="9"/>
        <v>4</v>
      </c>
      <c r="V30" s="31">
        <f t="shared" si="9"/>
        <v>4</v>
      </c>
      <c r="W30" s="31">
        <f t="shared" si="9"/>
        <v>4</v>
      </c>
      <c r="X30" s="31">
        <f t="shared" si="9"/>
        <v>4</v>
      </c>
    </row>
    <row r="31" spans="1:24" x14ac:dyDescent="0.2">
      <c r="B31" s="28" t="s">
        <v>136</v>
      </c>
      <c r="D31" s="14" t="s">
        <v>117</v>
      </c>
      <c r="E31" s="84">
        <f>E22*E23*3+E25*E26*3+E28*E29*3</f>
        <v>414</v>
      </c>
      <c r="F31" s="31">
        <f t="shared" ref="F31:X31" si="10">F22*F23*3+F25*F26*3+F28*F29*3</f>
        <v>421.55326485480794</v>
      </c>
      <c r="G31" s="31">
        <f t="shared" si="10"/>
        <v>429.24433601388375</v>
      </c>
      <c r="H31" s="31">
        <f t="shared" si="10"/>
        <v>437.07572769827755</v>
      </c>
      <c r="I31" s="31">
        <f t="shared" si="10"/>
        <v>638.92092667397935</v>
      </c>
      <c r="J31" s="31">
        <f t="shared" si="10"/>
        <v>650.95569759619809</v>
      </c>
      <c r="K31" s="31">
        <f t="shared" si="10"/>
        <v>663.21715652487205</v>
      </c>
      <c r="L31" s="31">
        <f t="shared" si="10"/>
        <v>675.70957337528284</v>
      </c>
      <c r="M31" s="31">
        <f t="shared" si="10"/>
        <v>685.62483170968221</v>
      </c>
      <c r="N31" s="31">
        <f t="shared" si="10"/>
        <v>695.68558501960297</v>
      </c>
      <c r="O31" s="31">
        <f t="shared" si="10"/>
        <v>705.89396827593441</v>
      </c>
      <c r="P31" s="31">
        <f t="shared" si="10"/>
        <v>716.25214777779979</v>
      </c>
      <c r="Q31" s="31">
        <f t="shared" si="10"/>
        <v>725.04216204563204</v>
      </c>
      <c r="R31" s="31">
        <f t="shared" si="10"/>
        <v>733.94004942919344</v>
      </c>
      <c r="S31" s="31">
        <f t="shared" si="10"/>
        <v>742.94713377264929</v>
      </c>
      <c r="T31" s="31">
        <f t="shared" si="10"/>
        <v>752.06475516669013</v>
      </c>
      <c r="U31" s="31">
        <f t="shared" si="10"/>
        <v>761.29427014791372</v>
      </c>
      <c r="V31" s="31">
        <f t="shared" si="10"/>
        <v>770.63705190065343</v>
      </c>
      <c r="W31" s="31">
        <f t="shared" si="10"/>
        <v>780.09449046128202</v>
      </c>
      <c r="X31" s="31">
        <f t="shared" si="10"/>
        <v>789.66799292502492</v>
      </c>
    </row>
    <row r="32" spans="1:24" x14ac:dyDescent="0.2">
      <c r="D32" s="14"/>
      <c r="E32" s="100"/>
    </row>
    <row r="33" spans="1:24" x14ac:dyDescent="0.2">
      <c r="A33" s="25" t="s">
        <v>133</v>
      </c>
      <c r="B33" s="10"/>
      <c r="D33" s="14"/>
      <c r="E33" s="100"/>
    </row>
    <row r="34" spans="1:24" x14ac:dyDescent="0.2">
      <c r="B34" s="290" t="s">
        <v>536</v>
      </c>
      <c r="C34" s="288"/>
      <c r="D34" s="14"/>
      <c r="E34" s="100"/>
    </row>
    <row r="35" spans="1:24" x14ac:dyDescent="0.2">
      <c r="B35" s="288"/>
      <c r="C35" s="288" t="s">
        <v>130</v>
      </c>
      <c r="D35" s="14" t="s">
        <v>135</v>
      </c>
      <c r="E35" s="314">
        <v>1</v>
      </c>
      <c r="F35" s="29">
        <f>E35</f>
        <v>1</v>
      </c>
      <c r="G35" s="29">
        <f t="shared" ref="G35:X35" si="11">F35</f>
        <v>1</v>
      </c>
      <c r="H35" s="29">
        <f t="shared" si="11"/>
        <v>1</v>
      </c>
      <c r="I35" s="29">
        <v>2</v>
      </c>
      <c r="J35" s="29">
        <f t="shared" si="11"/>
        <v>2</v>
      </c>
      <c r="K35" s="29">
        <f t="shared" si="11"/>
        <v>2</v>
      </c>
      <c r="L35" s="29">
        <f t="shared" si="11"/>
        <v>2</v>
      </c>
      <c r="M35" s="29">
        <f t="shared" si="11"/>
        <v>2</v>
      </c>
      <c r="N35" s="29">
        <f t="shared" si="11"/>
        <v>2</v>
      </c>
      <c r="O35" s="29">
        <f t="shared" si="11"/>
        <v>2</v>
      </c>
      <c r="P35" s="29">
        <f t="shared" si="11"/>
        <v>2</v>
      </c>
      <c r="Q35" s="29">
        <f t="shared" si="11"/>
        <v>2</v>
      </c>
      <c r="R35" s="29">
        <f t="shared" si="11"/>
        <v>2</v>
      </c>
      <c r="S35" s="29">
        <f t="shared" si="11"/>
        <v>2</v>
      </c>
      <c r="T35" s="29">
        <f t="shared" si="11"/>
        <v>2</v>
      </c>
      <c r="U35" s="29">
        <f t="shared" si="11"/>
        <v>2</v>
      </c>
      <c r="V35" s="29">
        <f t="shared" si="11"/>
        <v>2</v>
      </c>
      <c r="W35" s="29">
        <f t="shared" si="11"/>
        <v>2</v>
      </c>
      <c r="X35" s="29">
        <f t="shared" si="11"/>
        <v>2</v>
      </c>
    </row>
    <row r="36" spans="1:24" x14ac:dyDescent="0.2">
      <c r="B36" s="288"/>
      <c r="C36" s="288" t="s">
        <v>27</v>
      </c>
      <c r="D36" s="14" t="s">
        <v>117</v>
      </c>
      <c r="E36" s="314">
        <v>150</v>
      </c>
      <c r="F36" s="29">
        <f>E36*(1+Окружение!E8)</f>
        <v>152.7366901647855</v>
      </c>
      <c r="G36" s="29">
        <f>F36*(1+Окружение!F8)</f>
        <v>155.52331014995789</v>
      </c>
      <c r="H36" s="29">
        <f>G36*(1+Окружение!G8)</f>
        <v>158.36077090517304</v>
      </c>
      <c r="I36" s="29">
        <f>H36*(1+Окружение!H8)</f>
        <v>161.34366835201502</v>
      </c>
      <c r="J36" s="29">
        <f>I36*(1+Окружение!I8)</f>
        <v>164.38275191823186</v>
      </c>
      <c r="K36" s="29">
        <f>J36*(1+Окружение!J8)</f>
        <v>167.47907993052328</v>
      </c>
      <c r="L36" s="29">
        <f>K36*(1+Окружение!K8)</f>
        <v>170.633730650324</v>
      </c>
      <c r="M36" s="29">
        <f>L36*(1+Окружение!L8)</f>
        <v>173.1375837650713</v>
      </c>
      <c r="N36" s="29">
        <f>M36*(1+Окружение!M8)</f>
        <v>175.67817803525332</v>
      </c>
      <c r="O36" s="29">
        <f>N36*(1+Окружение!N8)</f>
        <v>178.25605259493298</v>
      </c>
      <c r="P36" s="29">
        <f>O36*(1+Окружение!O8)</f>
        <v>180.87175448934346</v>
      </c>
      <c r="Q36" s="29">
        <f>P36*(1+Окружение!P8)</f>
        <v>183.09145506202833</v>
      </c>
      <c r="R36" s="29">
        <f>Q36*(1+Окружение!Q8)</f>
        <v>185.33839632050348</v>
      </c>
      <c r="S36" s="29">
        <f>R36*(1+Окружение!R8)</f>
        <v>187.6129125688509</v>
      </c>
      <c r="T36" s="29">
        <f>S36*(1+Окружение!S8)</f>
        <v>189.9153422138107</v>
      </c>
      <c r="U36" s="29">
        <f>T36*(1+Окружение!T8)</f>
        <v>192.24602781512982</v>
      </c>
      <c r="V36" s="29">
        <f>U36*(1+Окружение!U8)</f>
        <v>194.60531613652873</v>
      </c>
      <c r="W36" s="29">
        <f>V36*(1+Окружение!V8)</f>
        <v>196.99355819729351</v>
      </c>
      <c r="X36" s="29">
        <f>W36*(1+Окружение!W8)</f>
        <v>199.4111093245013</v>
      </c>
    </row>
    <row r="37" spans="1:24" x14ac:dyDescent="0.2">
      <c r="B37" s="290" t="s">
        <v>537</v>
      </c>
      <c r="C37" s="288"/>
      <c r="D37" s="14"/>
      <c r="E37" s="316"/>
    </row>
    <row r="38" spans="1:24" x14ac:dyDescent="0.2">
      <c r="B38" s="288"/>
      <c r="C38" s="288" t="s">
        <v>130</v>
      </c>
      <c r="D38" s="14" t="s">
        <v>135</v>
      </c>
      <c r="E38" s="314">
        <v>1</v>
      </c>
      <c r="F38" s="29">
        <f>E38</f>
        <v>1</v>
      </c>
      <c r="G38" s="29">
        <f t="shared" ref="G38:X38" si="12">F38</f>
        <v>1</v>
      </c>
      <c r="H38" s="29">
        <f t="shared" si="12"/>
        <v>1</v>
      </c>
      <c r="I38" s="29">
        <f t="shared" si="12"/>
        <v>1</v>
      </c>
      <c r="J38" s="29">
        <f t="shared" si="12"/>
        <v>1</v>
      </c>
      <c r="K38" s="29">
        <f t="shared" si="12"/>
        <v>1</v>
      </c>
      <c r="L38" s="29">
        <f t="shared" si="12"/>
        <v>1</v>
      </c>
      <c r="M38" s="29">
        <f t="shared" si="12"/>
        <v>1</v>
      </c>
      <c r="N38" s="29">
        <f t="shared" si="12"/>
        <v>1</v>
      </c>
      <c r="O38" s="29">
        <f t="shared" si="12"/>
        <v>1</v>
      </c>
      <c r="P38" s="29">
        <f t="shared" si="12"/>
        <v>1</v>
      </c>
      <c r="Q38" s="29">
        <f t="shared" si="12"/>
        <v>1</v>
      </c>
      <c r="R38" s="29">
        <f t="shared" si="12"/>
        <v>1</v>
      </c>
      <c r="S38" s="29">
        <f t="shared" si="12"/>
        <v>1</v>
      </c>
      <c r="T38" s="29">
        <f t="shared" si="12"/>
        <v>1</v>
      </c>
      <c r="U38" s="29">
        <f t="shared" si="12"/>
        <v>1</v>
      </c>
      <c r="V38" s="29">
        <f t="shared" si="12"/>
        <v>1</v>
      </c>
      <c r="W38" s="29">
        <f t="shared" si="12"/>
        <v>1</v>
      </c>
      <c r="X38" s="29">
        <f t="shared" si="12"/>
        <v>1</v>
      </c>
    </row>
    <row r="39" spans="1:24" x14ac:dyDescent="0.2">
      <c r="B39" s="288"/>
      <c r="C39" s="288" t="s">
        <v>27</v>
      </c>
      <c r="D39" s="14" t="s">
        <v>117</v>
      </c>
      <c r="E39" s="314">
        <v>150</v>
      </c>
      <c r="F39" s="29">
        <f>E39*(1+Окружение!E8)</f>
        <v>152.7366901647855</v>
      </c>
      <c r="G39" s="29">
        <f>F39*(1+Окружение!F8)</f>
        <v>155.52331014995789</v>
      </c>
      <c r="H39" s="29">
        <f>G39*(1+Окружение!G8)</f>
        <v>158.36077090517304</v>
      </c>
      <c r="I39" s="29">
        <f>H39*(1+Окружение!H8)</f>
        <v>161.34366835201502</v>
      </c>
      <c r="J39" s="29">
        <f>I39*(1+Окружение!I8)</f>
        <v>164.38275191823186</v>
      </c>
      <c r="K39" s="29">
        <f>J39*(1+Окружение!J8)</f>
        <v>167.47907993052328</v>
      </c>
      <c r="L39" s="29">
        <f>K39*(1+Окружение!K8)</f>
        <v>170.633730650324</v>
      </c>
      <c r="M39" s="29">
        <f>L39*(1+Окружение!L8)</f>
        <v>173.1375837650713</v>
      </c>
      <c r="N39" s="29">
        <f>M39*(1+Окружение!M8)</f>
        <v>175.67817803525332</v>
      </c>
      <c r="O39" s="29">
        <f>N39*(1+Окружение!N8)</f>
        <v>178.25605259493298</v>
      </c>
      <c r="P39" s="29">
        <f>O39*(1+Окружение!O8)</f>
        <v>180.87175448934346</v>
      </c>
      <c r="Q39" s="29">
        <f>P39*(1+Окружение!P8)</f>
        <v>183.09145506202833</v>
      </c>
      <c r="R39" s="29">
        <f>Q39*(1+Окружение!Q8)</f>
        <v>185.33839632050348</v>
      </c>
      <c r="S39" s="29">
        <f>R39*(1+Окружение!R8)</f>
        <v>187.6129125688509</v>
      </c>
      <c r="T39" s="29">
        <f>S39*(1+Окружение!S8)</f>
        <v>189.9153422138107</v>
      </c>
      <c r="U39" s="29">
        <f>T39*(1+Окружение!T8)</f>
        <v>192.24602781512982</v>
      </c>
      <c r="V39" s="29">
        <f>U39*(1+Окружение!U8)</f>
        <v>194.60531613652873</v>
      </c>
      <c r="W39" s="29">
        <f>V39*(1+Окружение!V8)</f>
        <v>196.99355819729351</v>
      </c>
      <c r="X39" s="29">
        <f>W39*(1+Окружение!W8)</f>
        <v>199.4111093245013</v>
      </c>
    </row>
    <row r="40" spans="1:24" x14ac:dyDescent="0.2">
      <c r="B40" s="291" t="s">
        <v>377</v>
      </c>
      <c r="C40" s="288"/>
      <c r="D40" s="14"/>
      <c r="E40" s="316"/>
    </row>
    <row r="41" spans="1:24" x14ac:dyDescent="0.2">
      <c r="B41" s="291"/>
      <c r="C41" s="288" t="s">
        <v>130</v>
      </c>
      <c r="D41" s="14" t="s">
        <v>135</v>
      </c>
      <c r="E41" s="314">
        <v>0</v>
      </c>
      <c r="F41" s="29">
        <f>E41</f>
        <v>0</v>
      </c>
      <c r="G41" s="29">
        <f t="shared" ref="G41:X41" si="13">F41</f>
        <v>0</v>
      </c>
      <c r="H41" s="29">
        <f t="shared" si="13"/>
        <v>0</v>
      </c>
      <c r="I41" s="29">
        <f t="shared" si="13"/>
        <v>0</v>
      </c>
      <c r="J41" s="29">
        <f t="shared" si="13"/>
        <v>0</v>
      </c>
      <c r="K41" s="29">
        <f t="shared" si="13"/>
        <v>0</v>
      </c>
      <c r="L41" s="29">
        <f t="shared" si="13"/>
        <v>0</v>
      </c>
      <c r="M41" s="29">
        <f t="shared" si="13"/>
        <v>0</v>
      </c>
      <c r="N41" s="29">
        <f t="shared" si="13"/>
        <v>0</v>
      </c>
      <c r="O41" s="29">
        <f t="shared" si="13"/>
        <v>0</v>
      </c>
      <c r="P41" s="29">
        <f t="shared" si="13"/>
        <v>0</v>
      </c>
      <c r="Q41" s="29">
        <f t="shared" si="13"/>
        <v>0</v>
      </c>
      <c r="R41" s="29">
        <f t="shared" si="13"/>
        <v>0</v>
      </c>
      <c r="S41" s="29">
        <f t="shared" si="13"/>
        <v>0</v>
      </c>
      <c r="T41" s="29">
        <f t="shared" si="13"/>
        <v>0</v>
      </c>
      <c r="U41" s="29">
        <f t="shared" si="13"/>
        <v>0</v>
      </c>
      <c r="V41" s="29">
        <f t="shared" si="13"/>
        <v>0</v>
      </c>
      <c r="W41" s="29">
        <f t="shared" si="13"/>
        <v>0</v>
      </c>
      <c r="X41" s="29">
        <f t="shared" si="13"/>
        <v>0</v>
      </c>
    </row>
    <row r="42" spans="1:24" x14ac:dyDescent="0.2">
      <c r="B42" s="288"/>
      <c r="C42" s="288" t="s">
        <v>27</v>
      </c>
      <c r="D42" s="14" t="s">
        <v>117</v>
      </c>
      <c r="E42" s="287">
        <v>0</v>
      </c>
      <c r="F42" s="29">
        <f>E42*(1+Окружение!E8)</f>
        <v>0</v>
      </c>
      <c r="G42" s="29">
        <f>F42*(1+Окружение!F8)</f>
        <v>0</v>
      </c>
      <c r="H42" s="29">
        <f>G42*(1+Окружение!G8)</f>
        <v>0</v>
      </c>
      <c r="I42" s="29">
        <f>H42*(1+Окружение!H8)</f>
        <v>0</v>
      </c>
      <c r="J42" s="29">
        <f>I42*(1+Окружение!I8)</f>
        <v>0</v>
      </c>
      <c r="K42" s="29">
        <f>J42*(1+Окружение!J8)</f>
        <v>0</v>
      </c>
      <c r="L42" s="29">
        <f>K42*(1+Окружение!K8)</f>
        <v>0</v>
      </c>
      <c r="M42" s="29">
        <f>L42*(1+Окружение!L8)</f>
        <v>0</v>
      </c>
      <c r="N42" s="29">
        <f>M42*(1+Окружение!M8)</f>
        <v>0</v>
      </c>
      <c r="O42" s="29">
        <f>N42*(1+Окружение!N8)</f>
        <v>0</v>
      </c>
      <c r="P42" s="29">
        <f>O42*(1+Окружение!O8)</f>
        <v>0</v>
      </c>
      <c r="Q42" s="29">
        <f>P42*(1+Окружение!P8)</f>
        <v>0</v>
      </c>
      <c r="R42" s="29">
        <f>Q42*(1+Окружение!Q8)</f>
        <v>0</v>
      </c>
      <c r="S42" s="29">
        <f>R42*(1+Окружение!R8)</f>
        <v>0</v>
      </c>
      <c r="T42" s="29">
        <f>S42*(1+Окружение!S8)</f>
        <v>0</v>
      </c>
      <c r="U42" s="29">
        <f>T42*(1+Окружение!T8)</f>
        <v>0</v>
      </c>
      <c r="V42" s="29">
        <f>U42*(1+Окружение!U8)</f>
        <v>0</v>
      </c>
      <c r="W42" s="29">
        <f>V42*(1+Окружение!V8)</f>
        <v>0</v>
      </c>
      <c r="X42" s="29">
        <f>W42*(1+Окружение!W8)</f>
        <v>0</v>
      </c>
    </row>
    <row r="43" spans="1:24" x14ac:dyDescent="0.2">
      <c r="B43" s="28" t="s">
        <v>131</v>
      </c>
      <c r="D43" s="14" t="s">
        <v>135</v>
      </c>
      <c r="E43" s="31">
        <f>E35+E38+E41</f>
        <v>2</v>
      </c>
      <c r="F43" s="31">
        <f t="shared" ref="F43:X43" si="14">F35+F38+F41</f>
        <v>2</v>
      </c>
      <c r="G43" s="31">
        <f t="shared" si="14"/>
        <v>2</v>
      </c>
      <c r="H43" s="31">
        <f t="shared" si="14"/>
        <v>2</v>
      </c>
      <c r="I43" s="31">
        <f t="shared" si="14"/>
        <v>3</v>
      </c>
      <c r="J43" s="31">
        <f t="shared" si="14"/>
        <v>3</v>
      </c>
      <c r="K43" s="31">
        <f t="shared" si="14"/>
        <v>3</v>
      </c>
      <c r="L43" s="31">
        <f t="shared" si="14"/>
        <v>3</v>
      </c>
      <c r="M43" s="31">
        <f t="shared" si="14"/>
        <v>3</v>
      </c>
      <c r="N43" s="31">
        <f t="shared" si="14"/>
        <v>3</v>
      </c>
      <c r="O43" s="31">
        <f t="shared" si="14"/>
        <v>3</v>
      </c>
      <c r="P43" s="31">
        <f t="shared" si="14"/>
        <v>3</v>
      </c>
      <c r="Q43" s="31">
        <f t="shared" si="14"/>
        <v>3</v>
      </c>
      <c r="R43" s="31">
        <f t="shared" si="14"/>
        <v>3</v>
      </c>
      <c r="S43" s="31">
        <f t="shared" si="14"/>
        <v>3</v>
      </c>
      <c r="T43" s="31">
        <f t="shared" si="14"/>
        <v>3</v>
      </c>
      <c r="U43" s="31">
        <f t="shared" si="14"/>
        <v>3</v>
      </c>
      <c r="V43" s="31">
        <f t="shared" si="14"/>
        <v>3</v>
      </c>
      <c r="W43" s="31">
        <f t="shared" si="14"/>
        <v>3</v>
      </c>
      <c r="X43" s="31">
        <f t="shared" si="14"/>
        <v>3</v>
      </c>
    </row>
    <row r="44" spans="1:24" x14ac:dyDescent="0.2">
      <c r="B44" s="28" t="s">
        <v>136</v>
      </c>
      <c r="D44" s="14" t="s">
        <v>117</v>
      </c>
      <c r="E44" s="31">
        <f>E35*E36*3+E38*E39*3+E41*E42*3</f>
        <v>900</v>
      </c>
      <c r="F44" s="31">
        <f t="shared" ref="F44:X44" si="15">F35*F36*3+F38*F39*3+F41*F42*3</f>
        <v>916.420140988713</v>
      </c>
      <c r="G44" s="31">
        <f t="shared" si="15"/>
        <v>933.13986089974742</v>
      </c>
      <c r="H44" s="31">
        <f t="shared" si="15"/>
        <v>950.1646254310383</v>
      </c>
      <c r="I44" s="31">
        <f t="shared" si="15"/>
        <v>1452.093015168135</v>
      </c>
      <c r="J44" s="31">
        <f t="shared" si="15"/>
        <v>1479.4447672640867</v>
      </c>
      <c r="K44" s="31">
        <f t="shared" si="15"/>
        <v>1507.3117193747094</v>
      </c>
      <c r="L44" s="31">
        <f t="shared" si="15"/>
        <v>1535.7035758529159</v>
      </c>
      <c r="M44" s="31">
        <f t="shared" si="15"/>
        <v>1558.2382538856416</v>
      </c>
      <c r="N44" s="31">
        <f t="shared" si="15"/>
        <v>1581.1036023172801</v>
      </c>
      <c r="O44" s="31">
        <f t="shared" si="15"/>
        <v>1604.304473354397</v>
      </c>
      <c r="P44" s="31">
        <f t="shared" si="15"/>
        <v>1627.8457904040913</v>
      </c>
      <c r="Q44" s="31">
        <f t="shared" si="15"/>
        <v>1647.8230955582549</v>
      </c>
      <c r="R44" s="31">
        <f t="shared" si="15"/>
        <v>1668.0455668845311</v>
      </c>
      <c r="S44" s="31">
        <f t="shared" si="15"/>
        <v>1688.516213119658</v>
      </c>
      <c r="T44" s="31">
        <f t="shared" si="15"/>
        <v>1709.2380799242962</v>
      </c>
      <c r="U44" s="31">
        <f t="shared" si="15"/>
        <v>1730.2142503361686</v>
      </c>
      <c r="V44" s="31">
        <f t="shared" si="15"/>
        <v>1751.4478452287585</v>
      </c>
      <c r="W44" s="31">
        <f t="shared" si="15"/>
        <v>1772.9420237756417</v>
      </c>
      <c r="X44" s="31">
        <f t="shared" si="15"/>
        <v>1794.6999839205118</v>
      </c>
    </row>
    <row r="45" spans="1:24" x14ac:dyDescent="0.2">
      <c r="D45" s="14"/>
    </row>
    <row r="46" spans="1:24" x14ac:dyDescent="0.2">
      <c r="A46" s="25" t="s">
        <v>134</v>
      </c>
      <c r="B46" s="10"/>
      <c r="D46" s="14"/>
    </row>
    <row r="47" spans="1:24" x14ac:dyDescent="0.2">
      <c r="B47" s="290" t="s">
        <v>538</v>
      </c>
      <c r="C47" s="288"/>
      <c r="D47" s="14"/>
    </row>
    <row r="48" spans="1:24" x14ac:dyDescent="0.2">
      <c r="B48" s="288"/>
      <c r="C48" s="288" t="s">
        <v>130</v>
      </c>
      <c r="D48" s="14" t="s">
        <v>135</v>
      </c>
      <c r="E48" s="287">
        <v>1</v>
      </c>
      <c r="F48" s="29">
        <f>E48</f>
        <v>1</v>
      </c>
      <c r="G48" s="29">
        <f t="shared" ref="G48:X48" si="16">F48</f>
        <v>1</v>
      </c>
      <c r="H48" s="29">
        <f t="shared" si="16"/>
        <v>1</v>
      </c>
      <c r="I48" s="29">
        <f t="shared" si="16"/>
        <v>1</v>
      </c>
      <c r="J48" s="29">
        <f t="shared" si="16"/>
        <v>1</v>
      </c>
      <c r="K48" s="29">
        <f t="shared" si="16"/>
        <v>1</v>
      </c>
      <c r="L48" s="29">
        <f t="shared" si="16"/>
        <v>1</v>
      </c>
      <c r="M48" s="29">
        <f t="shared" si="16"/>
        <v>1</v>
      </c>
      <c r="N48" s="29">
        <f t="shared" si="16"/>
        <v>1</v>
      </c>
      <c r="O48" s="29">
        <f t="shared" si="16"/>
        <v>1</v>
      </c>
      <c r="P48" s="29">
        <f t="shared" si="16"/>
        <v>1</v>
      </c>
      <c r="Q48" s="29">
        <f t="shared" si="16"/>
        <v>1</v>
      </c>
      <c r="R48" s="29">
        <f t="shared" si="16"/>
        <v>1</v>
      </c>
      <c r="S48" s="29">
        <f t="shared" si="16"/>
        <v>1</v>
      </c>
      <c r="T48" s="29">
        <f t="shared" si="16"/>
        <v>1</v>
      </c>
      <c r="U48" s="29">
        <f t="shared" si="16"/>
        <v>1</v>
      </c>
      <c r="V48" s="29">
        <f t="shared" si="16"/>
        <v>1</v>
      </c>
      <c r="W48" s="29">
        <f t="shared" si="16"/>
        <v>1</v>
      </c>
      <c r="X48" s="29">
        <f t="shared" si="16"/>
        <v>1</v>
      </c>
    </row>
    <row r="49" spans="1:24" x14ac:dyDescent="0.2">
      <c r="B49" s="288"/>
      <c r="C49" s="288" t="s">
        <v>27</v>
      </c>
      <c r="D49" s="14" t="s">
        <v>117</v>
      </c>
      <c r="E49" s="287">
        <v>35</v>
      </c>
      <c r="F49" s="29">
        <f>E49*(1+Окружение!E8)</f>
        <v>35.63856103844995</v>
      </c>
      <c r="G49" s="29">
        <f>F49*(1+Окружение!F8)</f>
        <v>36.288772368323507</v>
      </c>
      <c r="H49" s="29">
        <f>G49*(1+Окружение!G8)</f>
        <v>36.950846544540376</v>
      </c>
      <c r="I49" s="29">
        <f>H49*(1+Окружение!H8)</f>
        <v>37.646855948803498</v>
      </c>
      <c r="J49" s="29">
        <f>I49*(1+Окружение!I8)</f>
        <v>38.355975447587433</v>
      </c>
      <c r="K49" s="29">
        <f>J49*(1+Окружение!J8)</f>
        <v>39.07845198378876</v>
      </c>
      <c r="L49" s="29">
        <f>K49*(1+Окружение!K8)</f>
        <v>39.814537151742257</v>
      </c>
      <c r="M49" s="29">
        <f>L49*(1+Окружение!L8)</f>
        <v>40.398769545183292</v>
      </c>
      <c r="N49" s="29">
        <f>M49*(1+Окружение!M8)</f>
        <v>40.991574874892429</v>
      </c>
      <c r="O49" s="29">
        <f>N49*(1+Окружение!N8)</f>
        <v>41.593078938817676</v>
      </c>
      <c r="P49" s="29">
        <f>O49*(1+Окружение!O8)</f>
        <v>42.203409380846793</v>
      </c>
      <c r="Q49" s="29">
        <f>P49*(1+Окружение!P8)</f>
        <v>42.721339514473264</v>
      </c>
      <c r="R49" s="29">
        <f>Q49*(1+Окружение!Q8)</f>
        <v>43.24562580811746</v>
      </c>
      <c r="S49" s="29">
        <f>R49*(1+Окружение!R8)</f>
        <v>43.77634626606519</v>
      </c>
      <c r="T49" s="29">
        <f>S49*(1+Окружение!S8)</f>
        <v>44.313579849889145</v>
      </c>
      <c r="U49" s="29">
        <f>T49*(1+Окружение!T8)</f>
        <v>44.857406490196936</v>
      </c>
      <c r="V49" s="29">
        <f>U49*(1+Окружение!U8)</f>
        <v>45.407907098523346</v>
      </c>
      <c r="W49" s="29">
        <f>V49*(1+Окружение!V8)</f>
        <v>45.965163579368465</v>
      </c>
      <c r="X49" s="29">
        <f>W49*(1+Окружение!W8)</f>
        <v>46.529258842383619</v>
      </c>
    </row>
    <row r="50" spans="1:24" x14ac:dyDescent="0.2">
      <c r="B50" s="290" t="s">
        <v>539</v>
      </c>
      <c r="C50" s="288"/>
      <c r="D50" s="14"/>
      <c r="E50" s="288"/>
    </row>
    <row r="51" spans="1:24" x14ac:dyDescent="0.2">
      <c r="B51" s="288"/>
      <c r="C51" s="288" t="s">
        <v>130</v>
      </c>
      <c r="D51" s="14" t="s">
        <v>135</v>
      </c>
      <c r="E51" s="287">
        <v>1</v>
      </c>
      <c r="F51" s="29">
        <f>E51</f>
        <v>1</v>
      </c>
      <c r="G51" s="29">
        <f t="shared" ref="G51:X51" si="17">F51</f>
        <v>1</v>
      </c>
      <c r="H51" s="29">
        <f t="shared" si="17"/>
        <v>1</v>
      </c>
      <c r="I51" s="29">
        <v>1</v>
      </c>
      <c r="J51" s="29">
        <v>2</v>
      </c>
      <c r="K51" s="29">
        <v>2</v>
      </c>
      <c r="L51" s="29">
        <v>2</v>
      </c>
      <c r="M51" s="29">
        <v>2</v>
      </c>
      <c r="N51" s="29">
        <v>2</v>
      </c>
      <c r="O51" s="29">
        <v>3</v>
      </c>
      <c r="P51" s="29">
        <v>3</v>
      </c>
      <c r="Q51" s="29">
        <f t="shared" si="17"/>
        <v>3</v>
      </c>
      <c r="R51" s="29">
        <f t="shared" si="17"/>
        <v>3</v>
      </c>
      <c r="S51" s="29">
        <f t="shared" si="17"/>
        <v>3</v>
      </c>
      <c r="T51" s="29">
        <f t="shared" si="17"/>
        <v>3</v>
      </c>
      <c r="U51" s="29">
        <f t="shared" si="17"/>
        <v>3</v>
      </c>
      <c r="V51" s="29">
        <f t="shared" si="17"/>
        <v>3</v>
      </c>
      <c r="W51" s="29">
        <f t="shared" si="17"/>
        <v>3</v>
      </c>
      <c r="X51" s="29">
        <f t="shared" si="17"/>
        <v>3</v>
      </c>
    </row>
    <row r="52" spans="1:24" x14ac:dyDescent="0.2">
      <c r="B52" s="288"/>
      <c r="C52" s="288" t="s">
        <v>27</v>
      </c>
      <c r="D52" s="14" t="s">
        <v>117</v>
      </c>
      <c r="E52" s="287">
        <v>35</v>
      </c>
      <c r="F52" s="29">
        <f>E52*(1+Окружение!E8)</f>
        <v>35.63856103844995</v>
      </c>
      <c r="G52" s="29">
        <f>F52*(1+Окружение!F8)</f>
        <v>36.288772368323507</v>
      </c>
      <c r="H52" s="29">
        <f>G52*(1+Окружение!G8)</f>
        <v>36.950846544540376</v>
      </c>
      <c r="I52" s="29">
        <f>H52*(1+Окружение!H8)</f>
        <v>37.646855948803498</v>
      </c>
      <c r="J52" s="29">
        <f>I52*(1+Окружение!I8)</f>
        <v>38.355975447587433</v>
      </c>
      <c r="K52" s="29">
        <f>J52*(1+Окружение!J8)</f>
        <v>39.07845198378876</v>
      </c>
      <c r="L52" s="29">
        <f>K52*(1+Окружение!K8)</f>
        <v>39.814537151742257</v>
      </c>
      <c r="M52" s="29">
        <f>L52*(1+Окружение!L8)</f>
        <v>40.398769545183292</v>
      </c>
      <c r="N52" s="29">
        <f>M52*(1+Окружение!M8)</f>
        <v>40.991574874892429</v>
      </c>
      <c r="O52" s="29">
        <f>N52*(1+Окружение!N8)</f>
        <v>41.593078938817676</v>
      </c>
      <c r="P52" s="29">
        <f>O52*(1+Окружение!O8)</f>
        <v>42.203409380846793</v>
      </c>
      <c r="Q52" s="29">
        <f>P52*(1+Окружение!P8)</f>
        <v>42.721339514473264</v>
      </c>
      <c r="R52" s="29">
        <f>Q52*(1+Окружение!Q8)</f>
        <v>43.24562580811746</v>
      </c>
      <c r="S52" s="29">
        <f>R52*(1+Окружение!R8)</f>
        <v>43.77634626606519</v>
      </c>
      <c r="T52" s="29">
        <f>S52*(1+Окружение!S8)</f>
        <v>44.313579849889145</v>
      </c>
      <c r="U52" s="29">
        <f>T52*(1+Окружение!T8)</f>
        <v>44.857406490196936</v>
      </c>
      <c r="V52" s="29">
        <f>U52*(1+Окружение!U8)</f>
        <v>45.407907098523346</v>
      </c>
      <c r="W52" s="29">
        <f>V52*(1+Окружение!V8)</f>
        <v>45.965163579368465</v>
      </c>
      <c r="X52" s="29">
        <f>W52*(1+Окружение!W8)</f>
        <v>46.529258842383619</v>
      </c>
    </row>
    <row r="53" spans="1:24" x14ac:dyDescent="0.2">
      <c r="B53" s="291" t="s">
        <v>377</v>
      </c>
      <c r="C53" s="288"/>
      <c r="D53" s="14"/>
      <c r="E53" s="288"/>
    </row>
    <row r="54" spans="1:24" x14ac:dyDescent="0.2">
      <c r="B54" s="288"/>
      <c r="C54" s="288" t="s">
        <v>130</v>
      </c>
      <c r="D54" s="14" t="s">
        <v>135</v>
      </c>
      <c r="E54" s="287">
        <v>0</v>
      </c>
      <c r="F54" s="29">
        <f>E54</f>
        <v>0</v>
      </c>
      <c r="G54" s="29">
        <f t="shared" ref="G54:X54" si="18">F54</f>
        <v>0</v>
      </c>
      <c r="H54" s="29">
        <f t="shared" si="18"/>
        <v>0</v>
      </c>
      <c r="I54" s="29">
        <f t="shared" si="18"/>
        <v>0</v>
      </c>
      <c r="J54" s="29">
        <f t="shared" si="18"/>
        <v>0</v>
      </c>
      <c r="K54" s="29">
        <f t="shared" si="18"/>
        <v>0</v>
      </c>
      <c r="L54" s="29">
        <f t="shared" si="18"/>
        <v>0</v>
      </c>
      <c r="M54" s="29">
        <f t="shared" si="18"/>
        <v>0</v>
      </c>
      <c r="N54" s="29">
        <f t="shared" si="18"/>
        <v>0</v>
      </c>
      <c r="O54" s="29">
        <f t="shared" si="18"/>
        <v>0</v>
      </c>
      <c r="P54" s="29">
        <f t="shared" si="18"/>
        <v>0</v>
      </c>
      <c r="Q54" s="29">
        <f t="shared" si="18"/>
        <v>0</v>
      </c>
      <c r="R54" s="29">
        <f t="shared" si="18"/>
        <v>0</v>
      </c>
      <c r="S54" s="29">
        <f t="shared" si="18"/>
        <v>0</v>
      </c>
      <c r="T54" s="29">
        <f t="shared" si="18"/>
        <v>0</v>
      </c>
      <c r="U54" s="29">
        <f t="shared" si="18"/>
        <v>0</v>
      </c>
      <c r="V54" s="29">
        <f t="shared" si="18"/>
        <v>0</v>
      </c>
      <c r="W54" s="29">
        <f t="shared" si="18"/>
        <v>0</v>
      </c>
      <c r="X54" s="29">
        <f t="shared" si="18"/>
        <v>0</v>
      </c>
    </row>
    <row r="55" spans="1:24" x14ac:dyDescent="0.2">
      <c r="B55" s="288"/>
      <c r="C55" s="288" t="s">
        <v>27</v>
      </c>
      <c r="D55" s="14" t="s">
        <v>117</v>
      </c>
      <c r="E55" s="287">
        <v>0</v>
      </c>
      <c r="F55" s="29">
        <f>E55*(1+Окружение!E8)</f>
        <v>0</v>
      </c>
      <c r="G55" s="29">
        <f>F55*(1+Окружение!F8)</f>
        <v>0</v>
      </c>
      <c r="H55" s="29">
        <f>G55*(1+Окружение!G8)</f>
        <v>0</v>
      </c>
      <c r="I55" s="29">
        <f>H55*(1+Окружение!H8)</f>
        <v>0</v>
      </c>
      <c r="J55" s="29">
        <f>I55*(1+Окружение!I8)</f>
        <v>0</v>
      </c>
      <c r="K55" s="29">
        <f>J55*(1+Окружение!J8)</f>
        <v>0</v>
      </c>
      <c r="L55" s="29">
        <f>K55*(1+Окружение!K8)</f>
        <v>0</v>
      </c>
      <c r="M55" s="29">
        <f>L55*(1+Окружение!L8)</f>
        <v>0</v>
      </c>
      <c r="N55" s="29">
        <f>M55*(1+Окружение!M8)</f>
        <v>0</v>
      </c>
      <c r="O55" s="29">
        <f>N55*(1+Окружение!N8)</f>
        <v>0</v>
      </c>
      <c r="P55" s="29">
        <f>O55*(1+Окружение!O8)</f>
        <v>0</v>
      </c>
      <c r="Q55" s="29">
        <f>P55*(1+Окружение!P8)</f>
        <v>0</v>
      </c>
      <c r="R55" s="29">
        <f>Q55*(1+Окружение!Q8)</f>
        <v>0</v>
      </c>
      <c r="S55" s="29">
        <f>R55*(1+Окружение!R8)</f>
        <v>0</v>
      </c>
      <c r="T55" s="29">
        <f>S55*(1+Окружение!S8)</f>
        <v>0</v>
      </c>
      <c r="U55" s="29">
        <f>T55*(1+Окружение!T8)</f>
        <v>0</v>
      </c>
      <c r="V55" s="29">
        <f>U55*(1+Окружение!U8)</f>
        <v>0</v>
      </c>
      <c r="W55" s="29">
        <f>V55*(1+Окружение!V8)</f>
        <v>0</v>
      </c>
      <c r="X55" s="29">
        <f>W55*(1+Окружение!W8)</f>
        <v>0</v>
      </c>
    </row>
    <row r="56" spans="1:24" x14ac:dyDescent="0.2">
      <c r="B56" s="28" t="s">
        <v>131</v>
      </c>
      <c r="D56" s="14" t="s">
        <v>135</v>
      </c>
      <c r="E56" s="31">
        <f>E48+E51+E54</f>
        <v>2</v>
      </c>
      <c r="F56" s="31">
        <f t="shared" ref="F56:X56" si="19">F48+F51+F54</f>
        <v>2</v>
      </c>
      <c r="G56" s="31">
        <f t="shared" si="19"/>
        <v>2</v>
      </c>
      <c r="H56" s="31">
        <f t="shared" si="19"/>
        <v>2</v>
      </c>
      <c r="I56" s="31">
        <f t="shared" si="19"/>
        <v>2</v>
      </c>
      <c r="J56" s="31">
        <f t="shared" si="19"/>
        <v>3</v>
      </c>
      <c r="K56" s="31">
        <f t="shared" si="19"/>
        <v>3</v>
      </c>
      <c r="L56" s="31">
        <f t="shared" si="19"/>
        <v>3</v>
      </c>
      <c r="M56" s="31">
        <f t="shared" si="19"/>
        <v>3</v>
      </c>
      <c r="N56" s="31">
        <f t="shared" si="19"/>
        <v>3</v>
      </c>
      <c r="O56" s="31">
        <f t="shared" si="19"/>
        <v>4</v>
      </c>
      <c r="P56" s="31">
        <f t="shared" si="19"/>
        <v>4</v>
      </c>
      <c r="Q56" s="31">
        <f t="shared" si="19"/>
        <v>4</v>
      </c>
      <c r="R56" s="31">
        <f t="shared" si="19"/>
        <v>4</v>
      </c>
      <c r="S56" s="31">
        <f t="shared" si="19"/>
        <v>4</v>
      </c>
      <c r="T56" s="31">
        <f t="shared" si="19"/>
        <v>4</v>
      </c>
      <c r="U56" s="31">
        <f t="shared" si="19"/>
        <v>4</v>
      </c>
      <c r="V56" s="31">
        <f t="shared" si="19"/>
        <v>4</v>
      </c>
      <c r="W56" s="31">
        <f t="shared" si="19"/>
        <v>4</v>
      </c>
      <c r="X56" s="31">
        <f t="shared" si="19"/>
        <v>4</v>
      </c>
    </row>
    <row r="57" spans="1:24" x14ac:dyDescent="0.2">
      <c r="A57" s="24"/>
      <c r="B57" s="28" t="s">
        <v>136</v>
      </c>
      <c r="D57" s="14" t="s">
        <v>117</v>
      </c>
      <c r="E57" s="31">
        <f>E48*E49*3+E51*E52*3+E54*E55*3</f>
        <v>210</v>
      </c>
      <c r="F57" s="31">
        <f t="shared" ref="F57:X57" si="20">F48*F49*3+F51*F52*3+F54*F55*3</f>
        <v>213.8313662306997</v>
      </c>
      <c r="G57" s="31">
        <f t="shared" si="20"/>
        <v>217.73263420994104</v>
      </c>
      <c r="H57" s="31">
        <f t="shared" si="20"/>
        <v>221.70507926724224</v>
      </c>
      <c r="I57" s="31">
        <f t="shared" si="20"/>
        <v>225.88113569282098</v>
      </c>
      <c r="J57" s="31">
        <f t="shared" si="20"/>
        <v>345.20377902828687</v>
      </c>
      <c r="K57" s="31">
        <f t="shared" si="20"/>
        <v>351.70606785409882</v>
      </c>
      <c r="L57" s="31">
        <f t="shared" si="20"/>
        <v>358.33083436568029</v>
      </c>
      <c r="M57" s="31">
        <f t="shared" si="20"/>
        <v>363.58892590664965</v>
      </c>
      <c r="N57" s="31">
        <f t="shared" si="20"/>
        <v>368.92417387403191</v>
      </c>
      <c r="O57" s="31">
        <f t="shared" si="20"/>
        <v>499.11694726581209</v>
      </c>
      <c r="P57" s="31">
        <f t="shared" si="20"/>
        <v>506.44091257016152</v>
      </c>
      <c r="Q57" s="31">
        <f t="shared" si="20"/>
        <v>512.65607417367914</v>
      </c>
      <c r="R57" s="31">
        <f t="shared" si="20"/>
        <v>518.94750969740949</v>
      </c>
      <c r="S57" s="31">
        <f t="shared" si="20"/>
        <v>525.31615519278228</v>
      </c>
      <c r="T57" s="31">
        <f t="shared" si="20"/>
        <v>531.76295819866971</v>
      </c>
      <c r="U57" s="31">
        <f t="shared" si="20"/>
        <v>538.28887788236329</v>
      </c>
      <c r="V57" s="31">
        <f t="shared" si="20"/>
        <v>544.89488518228018</v>
      </c>
      <c r="W57" s="31">
        <f t="shared" si="20"/>
        <v>551.58196295242158</v>
      </c>
      <c r="X57" s="31">
        <f t="shared" si="20"/>
        <v>558.3511061086034</v>
      </c>
    </row>
    <row r="58" spans="1:24" x14ac:dyDescent="0.2">
      <c r="A58" s="24"/>
      <c r="D58" s="14"/>
    </row>
    <row r="59" spans="1:24" x14ac:dyDescent="0.2">
      <c r="D59" s="14"/>
    </row>
    <row r="60" spans="1:24" x14ac:dyDescent="0.2">
      <c r="A60" s="24" t="s">
        <v>131</v>
      </c>
      <c r="D60" s="14" t="s">
        <v>135</v>
      </c>
      <c r="E60" s="31">
        <f>E17+E30+E43+E56</f>
        <v>10</v>
      </c>
      <c r="F60" s="31">
        <f t="shared" ref="F60:X60" si="21">F17+F30+F43+F56</f>
        <v>10</v>
      </c>
      <c r="G60" s="31">
        <f t="shared" si="21"/>
        <v>10</v>
      </c>
      <c r="H60" s="31">
        <f t="shared" si="21"/>
        <v>10</v>
      </c>
      <c r="I60" s="31">
        <f t="shared" si="21"/>
        <v>15</v>
      </c>
      <c r="J60" s="31">
        <f t="shared" si="21"/>
        <v>16</v>
      </c>
      <c r="K60" s="31">
        <f t="shared" si="21"/>
        <v>16</v>
      </c>
      <c r="L60" s="31">
        <f t="shared" si="21"/>
        <v>16</v>
      </c>
      <c r="M60" s="31">
        <f t="shared" si="21"/>
        <v>16</v>
      </c>
      <c r="N60" s="31">
        <f t="shared" si="21"/>
        <v>16</v>
      </c>
      <c r="O60" s="31">
        <f t="shared" si="21"/>
        <v>17</v>
      </c>
      <c r="P60" s="31">
        <f t="shared" si="21"/>
        <v>17</v>
      </c>
      <c r="Q60" s="31">
        <f t="shared" si="21"/>
        <v>17</v>
      </c>
      <c r="R60" s="31">
        <f t="shared" si="21"/>
        <v>17</v>
      </c>
      <c r="S60" s="31">
        <f t="shared" si="21"/>
        <v>17</v>
      </c>
      <c r="T60" s="31">
        <f t="shared" si="21"/>
        <v>17</v>
      </c>
      <c r="U60" s="31">
        <f t="shared" si="21"/>
        <v>17</v>
      </c>
      <c r="V60" s="31">
        <f t="shared" si="21"/>
        <v>17</v>
      </c>
      <c r="W60" s="31">
        <f t="shared" si="21"/>
        <v>17</v>
      </c>
      <c r="X60" s="31">
        <f t="shared" si="21"/>
        <v>17</v>
      </c>
    </row>
    <row r="61" spans="1:24" x14ac:dyDescent="0.2">
      <c r="A61" s="24" t="s">
        <v>286</v>
      </c>
      <c r="D61" s="14" t="s">
        <v>117</v>
      </c>
      <c r="E61" s="31">
        <f>E18+E31+E44+E57</f>
        <v>2694</v>
      </c>
      <c r="F61" s="31">
        <f t="shared" ref="F61:X61" si="22">F18+F31+F44+F57</f>
        <v>2743.1509553595474</v>
      </c>
      <c r="G61" s="31">
        <f t="shared" si="22"/>
        <v>2793.1986502932436</v>
      </c>
      <c r="H61" s="31">
        <f t="shared" si="22"/>
        <v>2844.1594454569081</v>
      </c>
      <c r="I61" s="31">
        <f t="shared" si="22"/>
        <v>4833.8563038263701</v>
      </c>
      <c r="J61" s="31">
        <f t="shared" si="22"/>
        <v>5039.9751738129889</v>
      </c>
      <c r="K61" s="31">
        <f t="shared" si="22"/>
        <v>5134.9085906698438</v>
      </c>
      <c r="L61" s="31">
        <f t="shared" si="22"/>
        <v>5231.6301817389331</v>
      </c>
      <c r="M61" s="31">
        <f t="shared" si="22"/>
        <v>5308.3983182370866</v>
      </c>
      <c r="N61" s="31">
        <f t="shared" si="22"/>
        <v>5386.2929385608668</v>
      </c>
      <c r="O61" s="31">
        <f t="shared" si="22"/>
        <v>5590.1098093770988</v>
      </c>
      <c r="P61" s="31">
        <f t="shared" si="22"/>
        <v>5672.1382207858105</v>
      </c>
      <c r="Q61" s="31">
        <f t="shared" si="22"/>
        <v>5741.7480307452088</v>
      </c>
      <c r="R61" s="31">
        <f t="shared" si="22"/>
        <v>5812.2121086109883</v>
      </c>
      <c r="S61" s="31">
        <f t="shared" si="22"/>
        <v>5883.5409381591635</v>
      </c>
      <c r="T61" s="31">
        <f t="shared" si="22"/>
        <v>5955.7451318251024</v>
      </c>
      <c r="U61" s="31">
        <f t="shared" si="22"/>
        <v>6028.8354322824707</v>
      </c>
      <c r="V61" s="31">
        <f t="shared" si="22"/>
        <v>6102.8227140415402</v>
      </c>
      <c r="W61" s="31">
        <f t="shared" si="22"/>
        <v>6177.7179850671237</v>
      </c>
      <c r="X61" s="31">
        <f t="shared" si="22"/>
        <v>6253.5323884163599</v>
      </c>
    </row>
    <row r="62" spans="1:24" x14ac:dyDescent="0.2">
      <c r="D62" s="14"/>
    </row>
    <row r="63" spans="1:24" x14ac:dyDescent="0.2">
      <c r="A63" s="24" t="s">
        <v>466</v>
      </c>
      <c r="D63" s="14"/>
    </row>
    <row r="64" spans="1:24" x14ac:dyDescent="0.2">
      <c r="B64" s="1" t="s">
        <v>461</v>
      </c>
      <c r="D64" s="14" t="s">
        <v>117</v>
      </c>
      <c r="E64" s="15">
        <f>E18*Окружение!D14</f>
        <v>397.8</v>
      </c>
      <c r="F64" s="15">
        <f>F18*Окружение!E14</f>
        <v>405.05770231701121</v>
      </c>
      <c r="G64" s="15">
        <f>G18*Окружение!F14</f>
        <v>412.44781851768835</v>
      </c>
      <c r="H64" s="15">
        <f>H18*Окружение!G14</f>
        <v>419.97276444051897</v>
      </c>
      <c r="I64" s="15">
        <f>I18*Окружение!H14</f>
        <v>855.76681693908768</v>
      </c>
      <c r="J64" s="15">
        <f>J18*Окружение!I14</f>
        <v>871.88611617430183</v>
      </c>
      <c r="K64" s="15">
        <f>K18*Окружение!J14</f>
        <v>888.30903995149538</v>
      </c>
      <c r="L64" s="15">
        <f>L18*Окружение!K14</f>
        <v>905.04130736931859</v>
      </c>
      <c r="M64" s="15">
        <f>M18*Окружение!L14</f>
        <v>918.32174428993835</v>
      </c>
      <c r="N64" s="15">
        <f>N18*Окружение!M14</f>
        <v>931.79705629898376</v>
      </c>
      <c r="O64" s="15">
        <f>O18*Окружение!N14</f>
        <v>945.4701029635246</v>
      </c>
      <c r="P64" s="15">
        <f>P18*Окружение!O14</f>
        <v>959.3437858114778</v>
      </c>
      <c r="Q64" s="15">
        <f>Q18*Окружение!P14</f>
        <v>971.11707764899847</v>
      </c>
      <c r="R64" s="15">
        <f>R18*Окружение!Q14</f>
        <v>983.03485408395056</v>
      </c>
      <c r="S64" s="15">
        <f>S18*Окружение!R14</f>
        <v>995.09888826518522</v>
      </c>
      <c r="T64" s="15">
        <f>T18*Окружение!S14</f>
        <v>1007.310975102052</v>
      </c>
      <c r="U64" s="15">
        <f>U18*Окружение!T14</f>
        <v>1019.6729315314486</v>
      </c>
      <c r="V64" s="15">
        <f>V18*Окружение!U14</f>
        <v>1032.1865967881483</v>
      </c>
      <c r="W64" s="15">
        <f>W18*Окружение!V14</f>
        <v>1044.8538326784449</v>
      </c>
      <c r="X64" s="15">
        <f>X18*Окружение!W14</f>
        <v>1057.6765238571547</v>
      </c>
    </row>
    <row r="65" spans="1:24" x14ac:dyDescent="0.2">
      <c r="B65" s="1" t="s">
        <v>462</v>
      </c>
      <c r="D65" s="14" t="s">
        <v>117</v>
      </c>
      <c r="E65" s="15">
        <f>E31*Окружение!D14</f>
        <v>140.76000000000002</v>
      </c>
      <c r="F65" s="15">
        <f>F31*Окружение!E14</f>
        <v>143.32811005063471</v>
      </c>
      <c r="G65" s="15">
        <f>G31*Окружение!F14</f>
        <v>145.94307424472049</v>
      </c>
      <c r="H65" s="15">
        <f>H31*Окружение!G14</f>
        <v>148.60574741741436</v>
      </c>
      <c r="I65" s="15">
        <f>I31*Окружение!H14</f>
        <v>217.233115069153</v>
      </c>
      <c r="J65" s="15">
        <f>J31*Окружение!I14</f>
        <v>221.32493718270737</v>
      </c>
      <c r="K65" s="15">
        <f>K31*Окружение!J14</f>
        <v>225.4938332184565</v>
      </c>
      <c r="L65" s="15">
        <f>L31*Окружение!K14</f>
        <v>229.74125494759619</v>
      </c>
      <c r="M65" s="15">
        <f>M31*Окружение!L14</f>
        <v>233.11244278129197</v>
      </c>
      <c r="N65" s="15">
        <f>N31*Окружение!M14</f>
        <v>236.53309890666503</v>
      </c>
      <c r="O65" s="15">
        <f>O31*Окружение!N14</f>
        <v>240.00394921381772</v>
      </c>
      <c r="P65" s="15">
        <f>P31*Окружение!O14</f>
        <v>243.52573024445195</v>
      </c>
      <c r="Q65" s="15">
        <f>Q31*Окружение!P14</f>
        <v>246.51433509551492</v>
      </c>
      <c r="R65" s="15">
        <f>R31*Окружение!Q14</f>
        <v>249.53961680592579</v>
      </c>
      <c r="S65" s="15">
        <f>S31*Окружение!R14</f>
        <v>252.60202548270078</v>
      </c>
      <c r="T65" s="15">
        <f>T31*Окружение!S14</f>
        <v>255.70201675667465</v>
      </c>
      <c r="U65" s="15">
        <f>U31*Окружение!T14</f>
        <v>258.84005185029071</v>
      </c>
      <c r="V65" s="15">
        <f>V31*Окружение!U14</f>
        <v>262.01659764622218</v>
      </c>
      <c r="W65" s="15">
        <f>W31*Окружение!V14</f>
        <v>265.2321267568359</v>
      </c>
      <c r="X65" s="15">
        <f>X31*Окружение!W14</f>
        <v>268.4871175945085</v>
      </c>
    </row>
    <row r="66" spans="1:24" s="65" customFormat="1" x14ac:dyDescent="0.2">
      <c r="B66" s="1" t="s">
        <v>463</v>
      </c>
      <c r="C66" s="1"/>
      <c r="D66" s="14" t="s">
        <v>117</v>
      </c>
      <c r="E66" s="15">
        <f>E44*Окружение!D14</f>
        <v>306</v>
      </c>
      <c r="F66" s="15">
        <f>F44*Окружение!E14</f>
        <v>311.58284793616247</v>
      </c>
      <c r="G66" s="15">
        <f>G44*Окружение!F14</f>
        <v>317.26755270591417</v>
      </c>
      <c r="H66" s="15">
        <f>H44*Окружение!G14</f>
        <v>323.05597264655307</v>
      </c>
      <c r="I66" s="15">
        <f>I44*Окружение!H14</f>
        <v>493.71162515716594</v>
      </c>
      <c r="J66" s="15">
        <f>J44*Окружение!I14</f>
        <v>503.01122086978955</v>
      </c>
      <c r="K66" s="15">
        <f>K44*Окружение!J14</f>
        <v>512.48598458740116</v>
      </c>
      <c r="L66" s="15">
        <f>L44*Окружение!K14</f>
        <v>522.13921578999145</v>
      </c>
      <c r="M66" s="15">
        <f>M44*Окружение!L14</f>
        <v>529.80100632111817</v>
      </c>
      <c r="N66" s="15">
        <f>N44*Окружение!M14</f>
        <v>537.5752247878753</v>
      </c>
      <c r="O66" s="15">
        <f>O44*Окружение!N14</f>
        <v>545.46352094049507</v>
      </c>
      <c r="P66" s="15">
        <f>P44*Окружение!O14</f>
        <v>553.46756873739105</v>
      </c>
      <c r="Q66" s="15">
        <f>Q44*Окружение!P14</f>
        <v>560.25985248980669</v>
      </c>
      <c r="R66" s="15">
        <f>R44*Окружение!Q14</f>
        <v>567.13549274074057</v>
      </c>
      <c r="S66" s="15">
        <f>S44*Окружение!R14</f>
        <v>574.09551246068372</v>
      </c>
      <c r="T66" s="15">
        <f>T44*Окружение!S14</f>
        <v>581.14094717426076</v>
      </c>
      <c r="U66" s="15">
        <f>U44*Окружение!T14</f>
        <v>588.2728451142973</v>
      </c>
      <c r="V66" s="15">
        <f>V44*Окружение!U14</f>
        <v>595.49226737777792</v>
      </c>
      <c r="W66" s="15">
        <f>W44*Окружение!V14</f>
        <v>602.80028808371821</v>
      </c>
      <c r="X66" s="15">
        <f>X44*Окружение!W14</f>
        <v>610.19799453297412</v>
      </c>
    </row>
    <row r="67" spans="1:24" x14ac:dyDescent="0.2">
      <c r="B67" s="1" t="s">
        <v>464</v>
      </c>
      <c r="D67" s="14" t="s">
        <v>117</v>
      </c>
      <c r="E67" s="15">
        <f>E57*Окружение!D14</f>
        <v>71.400000000000006</v>
      </c>
      <c r="F67" s="15">
        <f>F57*Окружение!E14</f>
        <v>72.702664518437899</v>
      </c>
      <c r="G67" s="15">
        <f>G57*Окружение!F14</f>
        <v>74.02909563137996</v>
      </c>
      <c r="H67" s="15">
        <f>H57*Окружение!G14</f>
        <v>75.379726950862363</v>
      </c>
      <c r="I67" s="15">
        <f>I57*Окружение!H14</f>
        <v>76.799586135559139</v>
      </c>
      <c r="J67" s="15">
        <f>J57*Окружение!I14</f>
        <v>117.36928486961754</v>
      </c>
      <c r="K67" s="15">
        <f>K57*Окружение!J14</f>
        <v>119.58006307039361</v>
      </c>
      <c r="L67" s="15">
        <f>L57*Окружение!K14</f>
        <v>121.83248368433131</v>
      </c>
      <c r="M67" s="15">
        <f>M57*Окружение!L14</f>
        <v>123.62023480826089</v>
      </c>
      <c r="N67" s="15">
        <f>N57*Окружение!M14</f>
        <v>125.43421911717085</v>
      </c>
      <c r="O67" s="15">
        <f>O57*Окружение!N14</f>
        <v>169.69976207037612</v>
      </c>
      <c r="P67" s="15">
        <f>P57*Окружение!O14</f>
        <v>172.18991027385493</v>
      </c>
      <c r="Q67" s="15">
        <f>Q57*Окружение!P14</f>
        <v>174.30306521905092</v>
      </c>
      <c r="R67" s="15">
        <f>R57*Окружение!Q14</f>
        <v>176.44215329711923</v>
      </c>
      <c r="S67" s="15">
        <f>S57*Окружение!R14</f>
        <v>178.607492765546</v>
      </c>
      <c r="T67" s="15">
        <f>T57*Окружение!S14</f>
        <v>180.79940578754773</v>
      </c>
      <c r="U67" s="15">
        <f>U57*Окружение!T14</f>
        <v>183.01821848000353</v>
      </c>
      <c r="V67" s="15">
        <f>V57*Окружение!U14</f>
        <v>185.26426096197528</v>
      </c>
      <c r="W67" s="15">
        <f>W57*Окружение!V14</f>
        <v>187.53786740382336</v>
      </c>
      <c r="X67" s="15">
        <f>X57*Окружение!W14</f>
        <v>189.83937607692516</v>
      </c>
    </row>
    <row r="68" spans="1:24" x14ac:dyDescent="0.2">
      <c r="B68" s="28" t="s">
        <v>465</v>
      </c>
      <c r="D68" s="14" t="s">
        <v>117</v>
      </c>
      <c r="E68" s="17">
        <f>SUM(E64:E67)</f>
        <v>915.96</v>
      </c>
      <c r="F68" s="17">
        <f t="shared" ref="F68:X68" si="23">SUM(F64:F67)</f>
        <v>932.67132482224633</v>
      </c>
      <c r="G68" s="17">
        <f t="shared" si="23"/>
        <v>949.68754109970291</v>
      </c>
      <c r="H68" s="17">
        <f t="shared" si="23"/>
        <v>967.0142114553488</v>
      </c>
      <c r="I68" s="17">
        <f t="shared" si="23"/>
        <v>1643.5111433009658</v>
      </c>
      <c r="J68" s="17">
        <f t="shared" si="23"/>
        <v>1713.5915590964162</v>
      </c>
      <c r="K68" s="17">
        <f t="shared" si="23"/>
        <v>1745.8689208277467</v>
      </c>
      <c r="L68" s="17">
        <f t="shared" si="23"/>
        <v>1778.7542617912372</v>
      </c>
      <c r="M68" s="17">
        <f t="shared" si="23"/>
        <v>1804.8554282006094</v>
      </c>
      <c r="N68" s="17">
        <f t="shared" si="23"/>
        <v>1831.339599110695</v>
      </c>
      <c r="O68" s="17">
        <f t="shared" si="23"/>
        <v>1900.6373351882137</v>
      </c>
      <c r="P68" s="17">
        <f t="shared" si="23"/>
        <v>1928.5269950671759</v>
      </c>
      <c r="Q68" s="17">
        <f t="shared" si="23"/>
        <v>1952.1943304533711</v>
      </c>
      <c r="R68" s="17">
        <f t="shared" si="23"/>
        <v>1976.1521169277362</v>
      </c>
      <c r="S68" s="17">
        <f t="shared" si="23"/>
        <v>2000.4039189741156</v>
      </c>
      <c r="T68" s="17">
        <f t="shared" si="23"/>
        <v>2024.9533448205354</v>
      </c>
      <c r="U68" s="17">
        <f t="shared" si="23"/>
        <v>2049.8040469760404</v>
      </c>
      <c r="V68" s="17">
        <f t="shared" si="23"/>
        <v>2074.9597227741237</v>
      </c>
      <c r="W68" s="17">
        <f t="shared" si="23"/>
        <v>2100.4241149228224</v>
      </c>
      <c r="X68" s="17">
        <f t="shared" si="23"/>
        <v>2126.2010120615623</v>
      </c>
    </row>
    <row r="69" spans="1:24" x14ac:dyDescent="0.2">
      <c r="B69" s="65"/>
      <c r="C69" s="65"/>
      <c r="D69" s="14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</row>
    <row r="70" spans="1:24" x14ac:dyDescent="0.2">
      <c r="A70" s="24" t="s">
        <v>467</v>
      </c>
      <c r="D70" s="14" t="s">
        <v>117</v>
      </c>
      <c r="E70" s="17">
        <f>E61+E68</f>
        <v>3609.96</v>
      </c>
      <c r="F70" s="17">
        <f t="shared" ref="F70:X70" si="24">F61+F68</f>
        <v>3675.8222801817938</v>
      </c>
      <c r="G70" s="17">
        <f t="shared" si="24"/>
        <v>3742.8861913929468</v>
      </c>
      <c r="H70" s="17">
        <f t="shared" si="24"/>
        <v>3811.1736569122568</v>
      </c>
      <c r="I70" s="17">
        <f t="shared" si="24"/>
        <v>6477.3674471273362</v>
      </c>
      <c r="J70" s="17">
        <f t="shared" si="24"/>
        <v>6753.5667329094049</v>
      </c>
      <c r="K70" s="17">
        <f t="shared" si="24"/>
        <v>6880.7775114975902</v>
      </c>
      <c r="L70" s="17">
        <f t="shared" si="24"/>
        <v>7010.3844435301708</v>
      </c>
      <c r="M70" s="17">
        <f t="shared" si="24"/>
        <v>7113.2537464376965</v>
      </c>
      <c r="N70" s="17">
        <f t="shared" si="24"/>
        <v>7217.6325376715613</v>
      </c>
      <c r="O70" s="17">
        <f t="shared" si="24"/>
        <v>7490.7471445653127</v>
      </c>
      <c r="P70" s="17">
        <f t="shared" si="24"/>
        <v>7600.6652158529869</v>
      </c>
      <c r="Q70" s="17">
        <f t="shared" si="24"/>
        <v>7693.9423611985803</v>
      </c>
      <c r="R70" s="17">
        <f t="shared" si="24"/>
        <v>7788.364225538724</v>
      </c>
      <c r="S70" s="17">
        <f t="shared" si="24"/>
        <v>7883.9448571332796</v>
      </c>
      <c r="T70" s="17">
        <f t="shared" si="24"/>
        <v>7980.698476645638</v>
      </c>
      <c r="U70" s="17">
        <f t="shared" si="24"/>
        <v>8078.6394792585106</v>
      </c>
      <c r="V70" s="17">
        <f t="shared" si="24"/>
        <v>8177.7824368156635</v>
      </c>
      <c r="W70" s="17">
        <f t="shared" si="24"/>
        <v>8278.1420999899456</v>
      </c>
      <c r="X70" s="17">
        <f t="shared" si="24"/>
        <v>8379.7334004779223</v>
      </c>
    </row>
    <row r="71" spans="1:24" x14ac:dyDescent="0.2">
      <c r="D71" s="14"/>
    </row>
    <row r="72" spans="1:24" x14ac:dyDescent="0.2">
      <c r="A72" s="24" t="s">
        <v>342</v>
      </c>
      <c r="D72" s="14"/>
    </row>
    <row r="73" spans="1:24" x14ac:dyDescent="0.2">
      <c r="B73" s="26" t="s">
        <v>129</v>
      </c>
      <c r="D73" s="14"/>
    </row>
    <row r="74" spans="1:24" x14ac:dyDescent="0.2">
      <c r="C74" s="1" t="s">
        <v>339</v>
      </c>
      <c r="D74" s="14" t="s">
        <v>123</v>
      </c>
      <c r="E74" s="76">
        <v>0</v>
      </c>
      <c r="F74" s="81">
        <f>E74</f>
        <v>0</v>
      </c>
      <c r="G74" s="81">
        <f t="shared" ref="G74:X74" si="25">F74</f>
        <v>0</v>
      </c>
      <c r="H74" s="81">
        <f t="shared" si="25"/>
        <v>0</v>
      </c>
      <c r="I74" s="81">
        <f t="shared" si="25"/>
        <v>0</v>
      </c>
      <c r="J74" s="81">
        <f t="shared" si="25"/>
        <v>0</v>
      </c>
      <c r="K74" s="81">
        <f t="shared" si="25"/>
        <v>0</v>
      </c>
      <c r="L74" s="81">
        <f t="shared" si="25"/>
        <v>0</v>
      </c>
      <c r="M74" s="81">
        <f t="shared" si="25"/>
        <v>0</v>
      </c>
      <c r="N74" s="81">
        <f t="shared" si="25"/>
        <v>0</v>
      </c>
      <c r="O74" s="81">
        <f t="shared" si="25"/>
        <v>0</v>
      </c>
      <c r="P74" s="81">
        <f t="shared" si="25"/>
        <v>0</v>
      </c>
      <c r="Q74" s="81">
        <f t="shared" si="25"/>
        <v>0</v>
      </c>
      <c r="R74" s="81">
        <f t="shared" si="25"/>
        <v>0</v>
      </c>
      <c r="S74" s="81">
        <f t="shared" si="25"/>
        <v>0</v>
      </c>
      <c r="T74" s="81">
        <f t="shared" si="25"/>
        <v>0</v>
      </c>
      <c r="U74" s="81">
        <f t="shared" si="25"/>
        <v>0</v>
      </c>
      <c r="V74" s="81">
        <f t="shared" si="25"/>
        <v>0</v>
      </c>
      <c r="W74" s="81">
        <f t="shared" si="25"/>
        <v>0</v>
      </c>
      <c r="X74" s="81">
        <f t="shared" si="25"/>
        <v>0</v>
      </c>
    </row>
    <row r="75" spans="1:24" x14ac:dyDescent="0.2">
      <c r="C75" s="1" t="s">
        <v>340</v>
      </c>
      <c r="D75" s="14" t="s">
        <v>117</v>
      </c>
      <c r="E75" s="82">
        <f>E18*E74</f>
        <v>0</v>
      </c>
      <c r="F75" s="82">
        <f t="shared" ref="F75:X75" si="26">F18*F74</f>
        <v>0</v>
      </c>
      <c r="G75" s="82">
        <f t="shared" si="26"/>
        <v>0</v>
      </c>
      <c r="H75" s="82">
        <f t="shared" si="26"/>
        <v>0</v>
      </c>
      <c r="I75" s="82">
        <f t="shared" si="26"/>
        <v>0</v>
      </c>
      <c r="J75" s="82">
        <f t="shared" si="26"/>
        <v>0</v>
      </c>
      <c r="K75" s="82">
        <f t="shared" si="26"/>
        <v>0</v>
      </c>
      <c r="L75" s="82">
        <f t="shared" si="26"/>
        <v>0</v>
      </c>
      <c r="M75" s="82">
        <f t="shared" si="26"/>
        <v>0</v>
      </c>
      <c r="N75" s="82">
        <f t="shared" si="26"/>
        <v>0</v>
      </c>
      <c r="O75" s="82">
        <f t="shared" si="26"/>
        <v>0</v>
      </c>
      <c r="P75" s="82">
        <f t="shared" si="26"/>
        <v>0</v>
      </c>
      <c r="Q75" s="82">
        <f t="shared" si="26"/>
        <v>0</v>
      </c>
      <c r="R75" s="82">
        <f t="shared" si="26"/>
        <v>0</v>
      </c>
      <c r="S75" s="82">
        <f t="shared" si="26"/>
        <v>0</v>
      </c>
      <c r="T75" s="82">
        <f t="shared" si="26"/>
        <v>0</v>
      </c>
      <c r="U75" s="82">
        <f t="shared" si="26"/>
        <v>0</v>
      </c>
      <c r="V75" s="82">
        <f t="shared" si="26"/>
        <v>0</v>
      </c>
      <c r="W75" s="82">
        <f t="shared" si="26"/>
        <v>0</v>
      </c>
      <c r="X75" s="82">
        <f t="shared" si="26"/>
        <v>0</v>
      </c>
    </row>
    <row r="76" spans="1:24" x14ac:dyDescent="0.2">
      <c r="B76" s="26" t="s">
        <v>132</v>
      </c>
      <c r="D76" s="14"/>
    </row>
    <row r="77" spans="1:24" x14ac:dyDescent="0.2">
      <c r="C77" s="1" t="s">
        <v>339</v>
      </c>
      <c r="D77" s="14" t="s">
        <v>123</v>
      </c>
      <c r="E77" s="76">
        <v>0</v>
      </c>
      <c r="F77" s="81">
        <f>E77</f>
        <v>0</v>
      </c>
      <c r="G77" s="81">
        <f t="shared" ref="G77:X77" si="27">F77</f>
        <v>0</v>
      </c>
      <c r="H77" s="81">
        <f t="shared" si="27"/>
        <v>0</v>
      </c>
      <c r="I77" s="81">
        <f t="shared" si="27"/>
        <v>0</v>
      </c>
      <c r="J77" s="81">
        <f t="shared" si="27"/>
        <v>0</v>
      </c>
      <c r="K77" s="81">
        <f t="shared" si="27"/>
        <v>0</v>
      </c>
      <c r="L77" s="81">
        <f t="shared" si="27"/>
        <v>0</v>
      </c>
      <c r="M77" s="81">
        <f t="shared" si="27"/>
        <v>0</v>
      </c>
      <c r="N77" s="81">
        <f t="shared" si="27"/>
        <v>0</v>
      </c>
      <c r="O77" s="81">
        <f t="shared" si="27"/>
        <v>0</v>
      </c>
      <c r="P77" s="81">
        <f t="shared" si="27"/>
        <v>0</v>
      </c>
      <c r="Q77" s="81">
        <f t="shared" si="27"/>
        <v>0</v>
      </c>
      <c r="R77" s="81">
        <f t="shared" si="27"/>
        <v>0</v>
      </c>
      <c r="S77" s="81">
        <f t="shared" si="27"/>
        <v>0</v>
      </c>
      <c r="T77" s="81">
        <f t="shared" si="27"/>
        <v>0</v>
      </c>
      <c r="U77" s="81">
        <f t="shared" si="27"/>
        <v>0</v>
      </c>
      <c r="V77" s="81">
        <f t="shared" si="27"/>
        <v>0</v>
      </c>
      <c r="W77" s="81">
        <f t="shared" si="27"/>
        <v>0</v>
      </c>
      <c r="X77" s="81">
        <f t="shared" si="27"/>
        <v>0</v>
      </c>
    </row>
    <row r="78" spans="1:24" x14ac:dyDescent="0.2">
      <c r="C78" s="1" t="s">
        <v>340</v>
      </c>
      <c r="D78" s="14" t="s">
        <v>117</v>
      </c>
      <c r="E78" s="82">
        <f>E31*E77</f>
        <v>0</v>
      </c>
      <c r="F78" s="82">
        <f t="shared" ref="F78:X78" si="28">F31*F77</f>
        <v>0</v>
      </c>
      <c r="G78" s="82">
        <f t="shared" si="28"/>
        <v>0</v>
      </c>
      <c r="H78" s="82">
        <f t="shared" si="28"/>
        <v>0</v>
      </c>
      <c r="I78" s="82">
        <f t="shared" si="28"/>
        <v>0</v>
      </c>
      <c r="J78" s="82">
        <f t="shared" si="28"/>
        <v>0</v>
      </c>
      <c r="K78" s="82">
        <f t="shared" si="28"/>
        <v>0</v>
      </c>
      <c r="L78" s="82">
        <f t="shared" si="28"/>
        <v>0</v>
      </c>
      <c r="M78" s="82">
        <f t="shared" si="28"/>
        <v>0</v>
      </c>
      <c r="N78" s="82">
        <f t="shared" si="28"/>
        <v>0</v>
      </c>
      <c r="O78" s="82">
        <f t="shared" si="28"/>
        <v>0</v>
      </c>
      <c r="P78" s="82">
        <f t="shared" si="28"/>
        <v>0</v>
      </c>
      <c r="Q78" s="82">
        <f t="shared" si="28"/>
        <v>0</v>
      </c>
      <c r="R78" s="82">
        <f t="shared" si="28"/>
        <v>0</v>
      </c>
      <c r="S78" s="82">
        <f t="shared" si="28"/>
        <v>0</v>
      </c>
      <c r="T78" s="82">
        <f t="shared" si="28"/>
        <v>0</v>
      </c>
      <c r="U78" s="82">
        <f t="shared" si="28"/>
        <v>0</v>
      </c>
      <c r="V78" s="82">
        <f t="shared" si="28"/>
        <v>0</v>
      </c>
      <c r="W78" s="82">
        <f t="shared" si="28"/>
        <v>0</v>
      </c>
      <c r="X78" s="82">
        <f t="shared" si="28"/>
        <v>0</v>
      </c>
    </row>
    <row r="79" spans="1:24" x14ac:dyDescent="0.2">
      <c r="B79" s="26" t="s">
        <v>133</v>
      </c>
      <c r="D79" s="14"/>
    </row>
    <row r="80" spans="1:24" x14ac:dyDescent="0.2">
      <c r="C80" s="1" t="s">
        <v>339</v>
      </c>
      <c r="D80" s="14" t="s">
        <v>123</v>
      </c>
      <c r="E80" s="76">
        <v>0</v>
      </c>
      <c r="F80" s="81">
        <f>E80</f>
        <v>0</v>
      </c>
      <c r="G80" s="81">
        <f t="shared" ref="G80:X80" si="29">F80</f>
        <v>0</v>
      </c>
      <c r="H80" s="81">
        <f t="shared" si="29"/>
        <v>0</v>
      </c>
      <c r="I80" s="81">
        <f t="shared" si="29"/>
        <v>0</v>
      </c>
      <c r="J80" s="81">
        <f t="shared" si="29"/>
        <v>0</v>
      </c>
      <c r="K80" s="81">
        <f t="shared" si="29"/>
        <v>0</v>
      </c>
      <c r="L80" s="81">
        <f t="shared" si="29"/>
        <v>0</v>
      </c>
      <c r="M80" s="81">
        <f t="shared" si="29"/>
        <v>0</v>
      </c>
      <c r="N80" s="81">
        <f t="shared" si="29"/>
        <v>0</v>
      </c>
      <c r="O80" s="81">
        <f t="shared" si="29"/>
        <v>0</v>
      </c>
      <c r="P80" s="81">
        <f t="shared" si="29"/>
        <v>0</v>
      </c>
      <c r="Q80" s="81">
        <f t="shared" si="29"/>
        <v>0</v>
      </c>
      <c r="R80" s="81">
        <f t="shared" si="29"/>
        <v>0</v>
      </c>
      <c r="S80" s="81">
        <f t="shared" si="29"/>
        <v>0</v>
      </c>
      <c r="T80" s="81">
        <f t="shared" si="29"/>
        <v>0</v>
      </c>
      <c r="U80" s="81">
        <f t="shared" si="29"/>
        <v>0</v>
      </c>
      <c r="V80" s="81">
        <f t="shared" si="29"/>
        <v>0</v>
      </c>
      <c r="W80" s="81">
        <f t="shared" si="29"/>
        <v>0</v>
      </c>
      <c r="X80" s="81">
        <f t="shared" si="29"/>
        <v>0</v>
      </c>
    </row>
    <row r="81" spans="2:24" x14ac:dyDescent="0.2">
      <c r="C81" s="1" t="s">
        <v>340</v>
      </c>
      <c r="D81" s="14" t="s">
        <v>117</v>
      </c>
      <c r="E81" s="82">
        <f>E44*E80</f>
        <v>0</v>
      </c>
      <c r="F81" s="82">
        <f t="shared" ref="F81:X81" si="30">F44*F80</f>
        <v>0</v>
      </c>
      <c r="G81" s="82">
        <f t="shared" si="30"/>
        <v>0</v>
      </c>
      <c r="H81" s="82">
        <f t="shared" si="30"/>
        <v>0</v>
      </c>
      <c r="I81" s="82">
        <f t="shared" si="30"/>
        <v>0</v>
      </c>
      <c r="J81" s="82">
        <f t="shared" si="30"/>
        <v>0</v>
      </c>
      <c r="K81" s="82">
        <f t="shared" si="30"/>
        <v>0</v>
      </c>
      <c r="L81" s="82">
        <f t="shared" si="30"/>
        <v>0</v>
      </c>
      <c r="M81" s="82">
        <f t="shared" si="30"/>
        <v>0</v>
      </c>
      <c r="N81" s="82">
        <f t="shared" si="30"/>
        <v>0</v>
      </c>
      <c r="O81" s="82">
        <f t="shared" si="30"/>
        <v>0</v>
      </c>
      <c r="P81" s="82">
        <f t="shared" si="30"/>
        <v>0</v>
      </c>
      <c r="Q81" s="82">
        <f t="shared" si="30"/>
        <v>0</v>
      </c>
      <c r="R81" s="82">
        <f t="shared" si="30"/>
        <v>0</v>
      </c>
      <c r="S81" s="82">
        <f t="shared" si="30"/>
        <v>0</v>
      </c>
      <c r="T81" s="82">
        <f t="shared" si="30"/>
        <v>0</v>
      </c>
      <c r="U81" s="82">
        <f t="shared" si="30"/>
        <v>0</v>
      </c>
      <c r="V81" s="82">
        <f t="shared" si="30"/>
        <v>0</v>
      </c>
      <c r="W81" s="82">
        <f t="shared" si="30"/>
        <v>0</v>
      </c>
      <c r="X81" s="82">
        <f t="shared" si="30"/>
        <v>0</v>
      </c>
    </row>
    <row r="82" spans="2:24" x14ac:dyDescent="0.2">
      <c r="B82" s="26" t="s">
        <v>134</v>
      </c>
      <c r="D82" s="14"/>
    </row>
    <row r="83" spans="2:24" x14ac:dyDescent="0.2">
      <c r="C83" s="1" t="s">
        <v>339</v>
      </c>
      <c r="D83" s="14" t="s">
        <v>123</v>
      </c>
      <c r="E83" s="76">
        <v>0</v>
      </c>
      <c r="F83" s="81">
        <f>E83</f>
        <v>0</v>
      </c>
      <c r="G83" s="81">
        <f t="shared" ref="G83:X83" si="31">F83</f>
        <v>0</v>
      </c>
      <c r="H83" s="81">
        <f t="shared" si="31"/>
        <v>0</v>
      </c>
      <c r="I83" s="81">
        <f t="shared" si="31"/>
        <v>0</v>
      </c>
      <c r="J83" s="81">
        <f t="shared" si="31"/>
        <v>0</v>
      </c>
      <c r="K83" s="81">
        <f t="shared" si="31"/>
        <v>0</v>
      </c>
      <c r="L83" s="81">
        <f t="shared" si="31"/>
        <v>0</v>
      </c>
      <c r="M83" s="81">
        <f t="shared" si="31"/>
        <v>0</v>
      </c>
      <c r="N83" s="81">
        <f t="shared" si="31"/>
        <v>0</v>
      </c>
      <c r="O83" s="81">
        <f t="shared" si="31"/>
        <v>0</v>
      </c>
      <c r="P83" s="81">
        <f t="shared" si="31"/>
        <v>0</v>
      </c>
      <c r="Q83" s="81">
        <f t="shared" si="31"/>
        <v>0</v>
      </c>
      <c r="R83" s="81">
        <f t="shared" si="31"/>
        <v>0</v>
      </c>
      <c r="S83" s="81">
        <f t="shared" si="31"/>
        <v>0</v>
      </c>
      <c r="T83" s="81">
        <f t="shared" si="31"/>
        <v>0</v>
      </c>
      <c r="U83" s="81">
        <f t="shared" si="31"/>
        <v>0</v>
      </c>
      <c r="V83" s="81">
        <f t="shared" si="31"/>
        <v>0</v>
      </c>
      <c r="W83" s="81">
        <f t="shared" si="31"/>
        <v>0</v>
      </c>
      <c r="X83" s="81">
        <f t="shared" si="31"/>
        <v>0</v>
      </c>
    </row>
    <row r="84" spans="2:24" x14ac:dyDescent="0.2">
      <c r="C84" s="1" t="s">
        <v>340</v>
      </c>
      <c r="D84" s="14" t="s">
        <v>117</v>
      </c>
      <c r="E84" s="82">
        <f>E57*E83</f>
        <v>0</v>
      </c>
      <c r="F84" s="82">
        <f t="shared" ref="F84:X84" si="32">F57*F83</f>
        <v>0</v>
      </c>
      <c r="G84" s="82">
        <f t="shared" si="32"/>
        <v>0</v>
      </c>
      <c r="H84" s="82">
        <f t="shared" si="32"/>
        <v>0</v>
      </c>
      <c r="I84" s="82">
        <f t="shared" si="32"/>
        <v>0</v>
      </c>
      <c r="J84" s="82">
        <f t="shared" si="32"/>
        <v>0</v>
      </c>
      <c r="K84" s="82">
        <f t="shared" si="32"/>
        <v>0</v>
      </c>
      <c r="L84" s="82">
        <f t="shared" si="32"/>
        <v>0</v>
      </c>
      <c r="M84" s="82">
        <f t="shared" si="32"/>
        <v>0</v>
      </c>
      <c r="N84" s="82">
        <f t="shared" si="32"/>
        <v>0</v>
      </c>
      <c r="O84" s="82">
        <f t="shared" si="32"/>
        <v>0</v>
      </c>
      <c r="P84" s="82">
        <f t="shared" si="32"/>
        <v>0</v>
      </c>
      <c r="Q84" s="82">
        <f t="shared" si="32"/>
        <v>0</v>
      </c>
      <c r="R84" s="82">
        <f t="shared" si="32"/>
        <v>0</v>
      </c>
      <c r="S84" s="82">
        <f t="shared" si="32"/>
        <v>0</v>
      </c>
      <c r="T84" s="82">
        <f t="shared" si="32"/>
        <v>0</v>
      </c>
      <c r="U84" s="82">
        <f t="shared" si="32"/>
        <v>0</v>
      </c>
      <c r="V84" s="82">
        <f t="shared" si="32"/>
        <v>0</v>
      </c>
      <c r="W84" s="82">
        <f t="shared" si="32"/>
        <v>0</v>
      </c>
      <c r="X84" s="82">
        <f t="shared" si="32"/>
        <v>0</v>
      </c>
    </row>
    <row r="85" spans="2:24" s="27" customFormat="1" x14ac:dyDescent="0.2">
      <c r="B85" s="28" t="s">
        <v>341</v>
      </c>
      <c r="D85" s="14" t="s">
        <v>117</v>
      </c>
      <c r="E85" s="123">
        <f>E75+E78+E81+E84</f>
        <v>0</v>
      </c>
      <c r="F85" s="123">
        <f t="shared" ref="F85:X85" si="33">F75+F78+F81+F84</f>
        <v>0</v>
      </c>
      <c r="G85" s="123">
        <f t="shared" si="33"/>
        <v>0</v>
      </c>
      <c r="H85" s="123">
        <f t="shared" si="33"/>
        <v>0</v>
      </c>
      <c r="I85" s="123">
        <f t="shared" si="33"/>
        <v>0</v>
      </c>
      <c r="J85" s="123">
        <f t="shared" si="33"/>
        <v>0</v>
      </c>
      <c r="K85" s="123">
        <f t="shared" si="33"/>
        <v>0</v>
      </c>
      <c r="L85" s="123">
        <f t="shared" si="33"/>
        <v>0</v>
      </c>
      <c r="M85" s="123">
        <f t="shared" si="33"/>
        <v>0</v>
      </c>
      <c r="N85" s="123">
        <f t="shared" si="33"/>
        <v>0</v>
      </c>
      <c r="O85" s="123">
        <f t="shared" si="33"/>
        <v>0</v>
      </c>
      <c r="P85" s="123">
        <f t="shared" si="33"/>
        <v>0</v>
      </c>
      <c r="Q85" s="123">
        <f t="shared" si="33"/>
        <v>0</v>
      </c>
      <c r="R85" s="123">
        <f t="shared" si="33"/>
        <v>0</v>
      </c>
      <c r="S85" s="123">
        <f t="shared" si="33"/>
        <v>0</v>
      </c>
      <c r="T85" s="123">
        <f t="shared" si="33"/>
        <v>0</v>
      </c>
      <c r="U85" s="123">
        <f t="shared" si="33"/>
        <v>0</v>
      </c>
      <c r="V85" s="123">
        <f t="shared" si="33"/>
        <v>0</v>
      </c>
      <c r="W85" s="123">
        <f t="shared" si="33"/>
        <v>0</v>
      </c>
      <c r="X85" s="123">
        <f t="shared" si="33"/>
        <v>0</v>
      </c>
    </row>
    <row r="86" spans="2:24" x14ac:dyDescent="0.2">
      <c r="D86" s="14"/>
    </row>
    <row r="87" spans="2:24" x14ac:dyDescent="0.2">
      <c r="D87" s="14"/>
    </row>
    <row r="88" spans="2:24" x14ac:dyDescent="0.2">
      <c r="D88" s="14"/>
    </row>
    <row r="89" spans="2:24" x14ac:dyDescent="0.2">
      <c r="D89" s="14"/>
    </row>
    <row r="90" spans="2:24" x14ac:dyDescent="0.2">
      <c r="D90" s="14"/>
    </row>
    <row r="91" spans="2:24" x14ac:dyDescent="0.2">
      <c r="D91" s="14"/>
    </row>
    <row r="92" spans="2:24" x14ac:dyDescent="0.2">
      <c r="D92" s="14"/>
    </row>
    <row r="93" spans="2:24" x14ac:dyDescent="0.2">
      <c r="D93" s="14"/>
    </row>
    <row r="94" spans="2:24" x14ac:dyDescent="0.2">
      <c r="D94" s="14"/>
    </row>
    <row r="95" spans="2:24" x14ac:dyDescent="0.2">
      <c r="D95" s="14"/>
    </row>
    <row r="96" spans="2:24" x14ac:dyDescent="0.2">
      <c r="D96" s="14"/>
    </row>
    <row r="97" spans="4:4" x14ac:dyDescent="0.2">
      <c r="D97" s="14"/>
    </row>
    <row r="98" spans="4:4" x14ac:dyDescent="0.2">
      <c r="D98" s="14"/>
    </row>
    <row r="99" spans="4:4" x14ac:dyDescent="0.2">
      <c r="D99" s="14"/>
    </row>
    <row r="100" spans="4:4" x14ac:dyDescent="0.2">
      <c r="D100" s="14"/>
    </row>
    <row r="101" spans="4:4" x14ac:dyDescent="0.2">
      <c r="D101" s="14"/>
    </row>
    <row r="102" spans="4:4" x14ac:dyDescent="0.2">
      <c r="D102" s="14"/>
    </row>
    <row r="103" spans="4:4" x14ac:dyDescent="0.2">
      <c r="D103" s="14"/>
    </row>
    <row r="104" spans="4:4" x14ac:dyDescent="0.2">
      <c r="D104" s="14"/>
    </row>
    <row r="105" spans="4:4" x14ac:dyDescent="0.2">
      <c r="D105" s="14"/>
    </row>
    <row r="106" spans="4:4" x14ac:dyDescent="0.2">
      <c r="D106" s="14"/>
    </row>
    <row r="107" spans="4:4" x14ac:dyDescent="0.2">
      <c r="D107" s="14"/>
    </row>
    <row r="108" spans="4:4" x14ac:dyDescent="0.2">
      <c r="D108" s="14"/>
    </row>
    <row r="109" spans="4:4" x14ac:dyDescent="0.2">
      <c r="D109" s="14"/>
    </row>
    <row r="110" spans="4:4" x14ac:dyDescent="0.2">
      <c r="D110" s="14"/>
    </row>
    <row r="111" spans="4:4" x14ac:dyDescent="0.2">
      <c r="D111" s="14"/>
    </row>
    <row r="112" spans="4:4" x14ac:dyDescent="0.2">
      <c r="D112" s="14"/>
    </row>
  </sheetData>
  <phoneticPr fontId="0" type="noConversion"/>
  <hyperlinks>
    <hyperlink ref="C1" r:id="rId1"/>
  </hyperlinks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155"/>
  <sheetViews>
    <sheetView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1" sqref="D1"/>
    </sheetView>
  </sheetViews>
  <sheetFormatPr defaultRowHeight="12.75" x14ac:dyDescent="0.2"/>
  <cols>
    <col min="1" max="3" width="3.7109375" style="1" customWidth="1"/>
    <col min="4" max="4" width="41" style="1" customWidth="1"/>
    <col min="5" max="5" width="10.28515625" style="1" customWidth="1"/>
    <col min="6" max="7" width="10.85546875" style="1" bestFit="1" customWidth="1"/>
    <col min="8" max="13" width="11.85546875" style="1" bestFit="1" customWidth="1"/>
    <col min="14" max="16384" width="9.140625" style="1"/>
  </cols>
  <sheetData>
    <row r="1" spans="1:25" ht="18" x14ac:dyDescent="0.25">
      <c r="D1" s="319" t="s">
        <v>573</v>
      </c>
    </row>
    <row r="2" spans="1:25" s="2" customFormat="1" x14ac:dyDescent="0.2">
      <c r="A2" s="11" t="s">
        <v>137</v>
      </c>
      <c r="B2" s="11"/>
      <c r="C2" s="12"/>
      <c r="D2" s="12"/>
      <c r="E2" s="2" t="s">
        <v>108</v>
      </c>
      <c r="F2" s="3" t="s">
        <v>87</v>
      </c>
      <c r="G2" s="3" t="s">
        <v>88</v>
      </c>
      <c r="H2" s="3" t="s">
        <v>89</v>
      </c>
      <c r="I2" s="3" t="s">
        <v>90</v>
      </c>
      <c r="J2" s="4" t="s">
        <v>91</v>
      </c>
      <c r="K2" s="4" t="s">
        <v>92</v>
      </c>
      <c r="L2" s="4" t="s">
        <v>93</v>
      </c>
      <c r="M2" s="4" t="s">
        <v>94</v>
      </c>
      <c r="N2" s="5" t="s">
        <v>95</v>
      </c>
      <c r="O2" s="5" t="s">
        <v>96</v>
      </c>
      <c r="P2" s="5" t="s">
        <v>97</v>
      </c>
      <c r="Q2" s="5" t="s">
        <v>98</v>
      </c>
      <c r="R2" s="6" t="s">
        <v>99</v>
      </c>
      <c r="S2" s="6" t="s">
        <v>100</v>
      </c>
      <c r="T2" s="6" t="s">
        <v>101</v>
      </c>
      <c r="U2" s="6" t="s">
        <v>102</v>
      </c>
      <c r="V2" s="7" t="s">
        <v>103</v>
      </c>
      <c r="W2" s="7" t="s">
        <v>104</v>
      </c>
      <c r="X2" s="7" t="s">
        <v>105</v>
      </c>
      <c r="Y2" s="7" t="s">
        <v>106</v>
      </c>
    </row>
    <row r="4" spans="1:25" s="35" customFormat="1" x14ac:dyDescent="0.2">
      <c r="A4" s="25" t="s">
        <v>140</v>
      </c>
      <c r="B4" s="34"/>
    </row>
    <row r="5" spans="1:25" s="35" customFormat="1" x14ac:dyDescent="0.2">
      <c r="B5" s="284" t="s">
        <v>35</v>
      </c>
      <c r="C5" s="292"/>
      <c r="D5" s="292"/>
    </row>
    <row r="6" spans="1:25" s="35" customFormat="1" x14ac:dyDescent="0.2">
      <c r="B6" s="292"/>
      <c r="C6" s="293" t="s">
        <v>544</v>
      </c>
      <c r="D6" s="294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s="35" customFormat="1" x14ac:dyDescent="0.2">
      <c r="B7" s="292"/>
      <c r="C7" s="292"/>
      <c r="D7" s="292" t="s">
        <v>142</v>
      </c>
      <c r="E7" s="295" t="s">
        <v>541</v>
      </c>
      <c r="F7" s="296">
        <v>0.04</v>
      </c>
      <c r="G7" s="302">
        <f>F7</f>
        <v>0.04</v>
      </c>
      <c r="H7" s="302">
        <f t="shared" ref="H7:Y7" si="0">G7</f>
        <v>0.04</v>
      </c>
      <c r="I7" s="302">
        <f t="shared" si="0"/>
        <v>0.04</v>
      </c>
      <c r="J7" s="302">
        <f t="shared" si="0"/>
        <v>0.04</v>
      </c>
      <c r="K7" s="302">
        <f t="shared" si="0"/>
        <v>0.04</v>
      </c>
      <c r="L7" s="302">
        <f t="shared" si="0"/>
        <v>0.04</v>
      </c>
      <c r="M7" s="302">
        <f t="shared" si="0"/>
        <v>0.04</v>
      </c>
      <c r="N7" s="302">
        <f t="shared" si="0"/>
        <v>0.04</v>
      </c>
      <c r="O7" s="302">
        <f t="shared" si="0"/>
        <v>0.04</v>
      </c>
      <c r="P7" s="302">
        <f t="shared" si="0"/>
        <v>0.04</v>
      </c>
      <c r="Q7" s="302">
        <f t="shared" si="0"/>
        <v>0.04</v>
      </c>
      <c r="R7" s="302">
        <f t="shared" si="0"/>
        <v>0.04</v>
      </c>
      <c r="S7" s="302">
        <f t="shared" si="0"/>
        <v>0.04</v>
      </c>
      <c r="T7" s="302">
        <f t="shared" si="0"/>
        <v>0.04</v>
      </c>
      <c r="U7" s="302">
        <f t="shared" si="0"/>
        <v>0.04</v>
      </c>
      <c r="V7" s="302">
        <f t="shared" si="0"/>
        <v>0.04</v>
      </c>
      <c r="W7" s="302">
        <f t="shared" si="0"/>
        <v>0.04</v>
      </c>
      <c r="X7" s="302">
        <f t="shared" si="0"/>
        <v>0.04</v>
      </c>
      <c r="Y7" s="302">
        <f t="shared" si="0"/>
        <v>0.04</v>
      </c>
    </row>
    <row r="8" spans="1:25" s="35" customFormat="1" x14ac:dyDescent="0.2">
      <c r="B8" s="292"/>
      <c r="C8" s="292"/>
      <c r="D8" s="292" t="s">
        <v>143</v>
      </c>
      <c r="E8" s="297" t="s">
        <v>116</v>
      </c>
      <c r="F8" s="298">
        <v>2520</v>
      </c>
      <c r="G8" s="303">
        <f>F8*(1+Окружение!E8)</f>
        <v>2565.9763947683964</v>
      </c>
      <c r="H8" s="303">
        <f>G8*(1+Окружение!F8)</f>
        <v>2612.7916105192926</v>
      </c>
      <c r="I8" s="303">
        <f>H8*(1+Окружение!G8)</f>
        <v>2660.4609512069073</v>
      </c>
      <c r="J8" s="303">
        <f>I8*(1+Окружение!H8)</f>
        <v>2710.5736283138522</v>
      </c>
      <c r="K8" s="303">
        <f>J8*(1+Окружение!I8)</f>
        <v>2761.630232226295</v>
      </c>
      <c r="L8" s="303">
        <f>K8*(1+Окружение!J8)</f>
        <v>2813.6485428327906</v>
      </c>
      <c r="M8" s="303">
        <f>L8*(1+Окружение!K8)</f>
        <v>2866.6466749254423</v>
      </c>
      <c r="N8" s="303">
        <f>M8*(1+Окружение!L8)</f>
        <v>2908.7114072531967</v>
      </c>
      <c r="O8" s="303">
        <f>N8*(1+Окружение!M8)</f>
        <v>2951.3933909922548</v>
      </c>
      <c r="P8" s="303">
        <f>O8*(1+Окружение!N8)</f>
        <v>2994.701683594873</v>
      </c>
      <c r="Q8" s="303">
        <f>P8*(1+Окружение!O8)</f>
        <v>3038.645475420969</v>
      </c>
      <c r="R8" s="303">
        <f>Q8*(1+Окружение!P8)</f>
        <v>3075.9364450420749</v>
      </c>
      <c r="S8" s="303">
        <f>R8*(1+Окружение!Q8)</f>
        <v>3113.6850581844569</v>
      </c>
      <c r="T8" s="303">
        <f>S8*(1+Окружение!R8)</f>
        <v>3151.8969311566934</v>
      </c>
      <c r="U8" s="303">
        <f>T8*(1+Окружение!S8)</f>
        <v>3190.577749192018</v>
      </c>
      <c r="V8" s="303">
        <f>U8*(1+Окружение!T8)</f>
        <v>3229.7332672941793</v>
      </c>
      <c r="W8" s="303">
        <f>V8*(1+Окружение!U8)</f>
        <v>3269.3693110936806</v>
      </c>
      <c r="X8" s="303">
        <f>W8*(1+Окружение!V8)</f>
        <v>3309.4917777145292</v>
      </c>
      <c r="Y8" s="303">
        <f>X8*(1+Окружение!W8)</f>
        <v>3350.1066366516202</v>
      </c>
    </row>
    <row r="9" spans="1:25" s="35" customFormat="1" x14ac:dyDescent="0.2">
      <c r="B9" s="292"/>
      <c r="C9" s="293" t="s">
        <v>540</v>
      </c>
      <c r="D9" s="292"/>
      <c r="E9" s="297"/>
      <c r="F9" s="299"/>
      <c r="G9" s="304"/>
      <c r="H9" s="304"/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</row>
    <row r="10" spans="1:25" s="35" customFormat="1" x14ac:dyDescent="0.2">
      <c r="B10" s="292"/>
      <c r="C10" s="292"/>
      <c r="D10" s="292" t="s">
        <v>142</v>
      </c>
      <c r="E10" s="295" t="s">
        <v>542</v>
      </c>
      <c r="F10" s="310">
        <v>10</v>
      </c>
      <c r="G10" s="303">
        <f>F10</f>
        <v>10</v>
      </c>
      <c r="H10" s="303">
        <f t="shared" ref="H10:X10" si="1">G10</f>
        <v>10</v>
      </c>
      <c r="I10" s="303">
        <f t="shared" si="1"/>
        <v>10</v>
      </c>
      <c r="J10" s="303">
        <f t="shared" si="1"/>
        <v>10</v>
      </c>
      <c r="K10" s="303">
        <f t="shared" si="1"/>
        <v>10</v>
      </c>
      <c r="L10" s="303">
        <f t="shared" si="1"/>
        <v>10</v>
      </c>
      <c r="M10" s="303">
        <f t="shared" si="1"/>
        <v>10</v>
      </c>
      <c r="N10" s="303">
        <f t="shared" si="1"/>
        <v>10</v>
      </c>
      <c r="O10" s="303">
        <f t="shared" si="1"/>
        <v>10</v>
      </c>
      <c r="P10" s="303">
        <f t="shared" si="1"/>
        <v>10</v>
      </c>
      <c r="Q10" s="303">
        <f t="shared" si="1"/>
        <v>10</v>
      </c>
      <c r="R10" s="303">
        <f t="shared" si="1"/>
        <v>10</v>
      </c>
      <c r="S10" s="303">
        <f t="shared" si="1"/>
        <v>10</v>
      </c>
      <c r="T10" s="303">
        <f t="shared" si="1"/>
        <v>10</v>
      </c>
      <c r="U10" s="303">
        <f t="shared" si="1"/>
        <v>10</v>
      </c>
      <c r="V10" s="303">
        <f t="shared" si="1"/>
        <v>10</v>
      </c>
      <c r="W10" s="303">
        <f t="shared" si="1"/>
        <v>10</v>
      </c>
      <c r="X10" s="303">
        <f t="shared" si="1"/>
        <v>10</v>
      </c>
      <c r="Y10" s="303">
        <f>X10</f>
        <v>10</v>
      </c>
    </row>
    <row r="11" spans="1:25" s="35" customFormat="1" x14ac:dyDescent="0.2">
      <c r="B11" s="292"/>
      <c r="C11" s="292"/>
      <c r="D11" s="292" t="s">
        <v>143</v>
      </c>
      <c r="E11" s="297" t="s">
        <v>116</v>
      </c>
      <c r="F11" s="310">
        <v>1.5</v>
      </c>
      <c r="G11" s="303">
        <f>F11*(1+Окружение!E8)</f>
        <v>1.5273669016478548</v>
      </c>
      <c r="H11" s="303">
        <f>G11*(1+Окружение!F8)</f>
        <v>1.5552331014995786</v>
      </c>
      <c r="I11" s="303">
        <f>H11*(1+Окружение!G8)</f>
        <v>1.5836077090517302</v>
      </c>
      <c r="J11" s="303">
        <f>I11*(1+Окружение!H8)</f>
        <v>1.6134366835201499</v>
      </c>
      <c r="K11" s="303">
        <f>J11*(1+Окружение!I8)</f>
        <v>1.6438275191823184</v>
      </c>
      <c r="L11" s="303">
        <f>K11*(1+Окружение!J8)</f>
        <v>1.6747907993052324</v>
      </c>
      <c r="M11" s="303">
        <f>L11*(1+Окружение!K8)</f>
        <v>1.7063373065032394</v>
      </c>
      <c r="N11" s="303">
        <f>M11*(1+Окружение!L8)</f>
        <v>1.7313758376507125</v>
      </c>
      <c r="O11" s="303">
        <f>N11*(1+Окружение!M8)</f>
        <v>1.7567817803525327</v>
      </c>
      <c r="P11" s="303">
        <f>O11*(1+Окружение!N8)</f>
        <v>1.7825605259493291</v>
      </c>
      <c r="Q11" s="303">
        <f>P11*(1+Окружение!O8)</f>
        <v>1.8087175448934341</v>
      </c>
      <c r="R11" s="303">
        <f>Q11*(1+Окружение!P8)</f>
        <v>1.8309145506202829</v>
      </c>
      <c r="S11" s="303">
        <f>R11*(1+Окружение!Q8)</f>
        <v>1.8533839632050342</v>
      </c>
      <c r="T11" s="303">
        <f>S11*(1+Окружение!R8)</f>
        <v>1.8761291256885084</v>
      </c>
      <c r="U11" s="303">
        <f>T11*(1+Окружение!S8)</f>
        <v>1.8991534221381063</v>
      </c>
      <c r="V11" s="303">
        <f>U11*(1+Окружение!T8)</f>
        <v>1.9224602781512976</v>
      </c>
      <c r="W11" s="303">
        <f>V11*(1+Окружение!U8)</f>
        <v>1.9460531613652865</v>
      </c>
      <c r="X11" s="303">
        <f>W11*(1+Окружение!V8)</f>
        <v>1.9699355819729345</v>
      </c>
      <c r="Y11" s="303">
        <f>X11*(1+Окружение!W8)</f>
        <v>1.9941110932450123</v>
      </c>
    </row>
    <row r="12" spans="1:25" s="35" customFormat="1" x14ac:dyDescent="0.2">
      <c r="B12" s="292"/>
      <c r="C12" s="293" t="s">
        <v>34</v>
      </c>
      <c r="D12" s="294"/>
      <c r="E12" s="297"/>
      <c r="F12" s="300"/>
      <c r="G12" s="305"/>
      <c r="H12" s="305"/>
      <c r="I12" s="305"/>
      <c r="J12" s="305"/>
      <c r="K12" s="305"/>
      <c r="L12" s="305"/>
      <c r="M12" s="305"/>
      <c r="N12" s="305"/>
      <c r="O12" s="305"/>
      <c r="P12" s="305"/>
      <c r="Q12" s="305"/>
      <c r="R12" s="305"/>
      <c r="S12" s="305"/>
      <c r="T12" s="305"/>
      <c r="U12" s="305"/>
      <c r="V12" s="305"/>
      <c r="W12" s="305"/>
      <c r="X12" s="305"/>
      <c r="Y12" s="305"/>
    </row>
    <row r="13" spans="1:25" s="35" customFormat="1" x14ac:dyDescent="0.2">
      <c r="B13" s="292"/>
      <c r="C13" s="292"/>
      <c r="D13" s="292" t="s">
        <v>142</v>
      </c>
      <c r="E13" s="297" t="s">
        <v>141</v>
      </c>
      <c r="F13" s="296">
        <v>1</v>
      </c>
      <c r="G13" s="303">
        <f>F13</f>
        <v>1</v>
      </c>
      <c r="H13" s="303">
        <f t="shared" ref="H13:Y13" si="2">G13</f>
        <v>1</v>
      </c>
      <c r="I13" s="303">
        <f t="shared" si="2"/>
        <v>1</v>
      </c>
      <c r="J13" s="303">
        <f t="shared" si="2"/>
        <v>1</v>
      </c>
      <c r="K13" s="303">
        <f t="shared" si="2"/>
        <v>1</v>
      </c>
      <c r="L13" s="303">
        <f t="shared" si="2"/>
        <v>1</v>
      </c>
      <c r="M13" s="303">
        <f t="shared" si="2"/>
        <v>1</v>
      </c>
      <c r="N13" s="303">
        <f t="shared" si="2"/>
        <v>1</v>
      </c>
      <c r="O13" s="303">
        <f t="shared" si="2"/>
        <v>1</v>
      </c>
      <c r="P13" s="303">
        <f t="shared" si="2"/>
        <v>1</v>
      </c>
      <c r="Q13" s="303">
        <f t="shared" si="2"/>
        <v>1</v>
      </c>
      <c r="R13" s="303">
        <f t="shared" si="2"/>
        <v>1</v>
      </c>
      <c r="S13" s="303">
        <f t="shared" si="2"/>
        <v>1</v>
      </c>
      <c r="T13" s="303">
        <f t="shared" si="2"/>
        <v>1</v>
      </c>
      <c r="U13" s="303">
        <f t="shared" si="2"/>
        <v>1</v>
      </c>
      <c r="V13" s="303">
        <f t="shared" si="2"/>
        <v>1</v>
      </c>
      <c r="W13" s="303">
        <f t="shared" si="2"/>
        <v>1</v>
      </c>
      <c r="X13" s="303">
        <f t="shared" si="2"/>
        <v>1</v>
      </c>
      <c r="Y13" s="303">
        <f t="shared" si="2"/>
        <v>1</v>
      </c>
    </row>
    <row r="14" spans="1:25" s="35" customFormat="1" x14ac:dyDescent="0.2">
      <c r="B14" s="292"/>
      <c r="C14" s="292"/>
      <c r="D14" s="292" t="s">
        <v>143</v>
      </c>
      <c r="E14" s="297" t="s">
        <v>116</v>
      </c>
      <c r="F14" s="301">
        <v>0.98</v>
      </c>
      <c r="G14" s="306">
        <f>F14*(1+Окружение!E8)</f>
        <v>0.99787970907659851</v>
      </c>
      <c r="H14" s="306">
        <f>G14*(1+Окружение!F8)</f>
        <v>1.016085626313058</v>
      </c>
      <c r="I14" s="306">
        <f>H14*(1+Окружение!G8)</f>
        <v>1.0346237032471304</v>
      </c>
      <c r="J14" s="306">
        <f>I14*(1+Окружение!H8)</f>
        <v>1.054111966566498</v>
      </c>
      <c r="K14" s="306">
        <f>J14*(1+Окружение!I8)</f>
        <v>1.073967312532448</v>
      </c>
      <c r="L14" s="306">
        <f>K14*(1+Окружение!J8)</f>
        <v>1.0941966555460854</v>
      </c>
      <c r="M14" s="306">
        <f>L14*(1+Окружение!K8)</f>
        <v>1.1148070402487833</v>
      </c>
      <c r="N14" s="306">
        <f>M14*(1+Окружение!L8)</f>
        <v>1.1311655472651323</v>
      </c>
      <c r="O14" s="306">
        <f>N14*(1+Окружение!M8)</f>
        <v>1.1477640964969882</v>
      </c>
      <c r="P14" s="306">
        <f>O14*(1+Окружение!N8)</f>
        <v>1.1646062102868953</v>
      </c>
      <c r="Q14" s="306">
        <f>P14*(1+Окружение!O8)</f>
        <v>1.1816954626637104</v>
      </c>
      <c r="R14" s="306">
        <f>Q14*(1+Окружение!P8)</f>
        <v>1.1961975064052515</v>
      </c>
      <c r="S14" s="306">
        <f>R14*(1+Окружение!Q8)</f>
        <v>1.210877522627289</v>
      </c>
      <c r="T14" s="306">
        <f>S14*(1+Окружение!R8)</f>
        <v>1.2257376954498256</v>
      </c>
      <c r="U14" s="306">
        <f>T14*(1+Окружение!S8)</f>
        <v>1.2407802357968962</v>
      </c>
      <c r="V14" s="306">
        <f>U14*(1+Окружение!T8)</f>
        <v>1.2560073817255144</v>
      </c>
      <c r="W14" s="306">
        <f>V14*(1+Окружение!U8)</f>
        <v>1.2714213987586538</v>
      </c>
      <c r="X14" s="306">
        <f>W14*(1+Окружение!V8)</f>
        <v>1.287024580222317</v>
      </c>
      <c r="Y14" s="306">
        <f>X14*(1+Окружение!W8)</f>
        <v>1.3028192475867413</v>
      </c>
    </row>
    <row r="15" spans="1:25" s="35" customFormat="1" x14ac:dyDescent="0.2">
      <c r="B15" s="292"/>
      <c r="C15" s="294" t="s">
        <v>288</v>
      </c>
      <c r="D15" s="292"/>
      <c r="E15" s="297"/>
      <c r="F15" s="301"/>
      <c r="G15" s="307"/>
      <c r="H15" s="307"/>
      <c r="I15" s="307"/>
      <c r="J15" s="307"/>
      <c r="K15" s="307"/>
      <c r="L15" s="307"/>
      <c r="M15" s="307"/>
      <c r="N15" s="307"/>
      <c r="O15" s="307"/>
      <c r="P15" s="307"/>
      <c r="Q15" s="307"/>
      <c r="R15" s="307"/>
      <c r="S15" s="307"/>
      <c r="T15" s="307"/>
      <c r="U15" s="307"/>
      <c r="V15" s="307"/>
      <c r="W15" s="307"/>
      <c r="X15" s="307"/>
      <c r="Y15" s="307"/>
    </row>
    <row r="16" spans="1:25" s="35" customFormat="1" x14ac:dyDescent="0.2">
      <c r="B16" s="292"/>
      <c r="C16" s="292"/>
      <c r="D16" s="292" t="s">
        <v>142</v>
      </c>
      <c r="E16" s="297" t="s">
        <v>141</v>
      </c>
      <c r="F16" s="301">
        <v>0</v>
      </c>
      <c r="G16" s="306">
        <f>F16</f>
        <v>0</v>
      </c>
      <c r="H16" s="306">
        <f t="shared" ref="H16:Y16" si="3">G16</f>
        <v>0</v>
      </c>
      <c r="I16" s="306">
        <f t="shared" si="3"/>
        <v>0</v>
      </c>
      <c r="J16" s="306">
        <f t="shared" si="3"/>
        <v>0</v>
      </c>
      <c r="K16" s="306">
        <f t="shared" si="3"/>
        <v>0</v>
      </c>
      <c r="L16" s="306">
        <f t="shared" si="3"/>
        <v>0</v>
      </c>
      <c r="M16" s="306">
        <f t="shared" si="3"/>
        <v>0</v>
      </c>
      <c r="N16" s="306">
        <f t="shared" si="3"/>
        <v>0</v>
      </c>
      <c r="O16" s="306">
        <f t="shared" si="3"/>
        <v>0</v>
      </c>
      <c r="P16" s="306">
        <f t="shared" si="3"/>
        <v>0</v>
      </c>
      <c r="Q16" s="306">
        <f t="shared" si="3"/>
        <v>0</v>
      </c>
      <c r="R16" s="306">
        <f t="shared" si="3"/>
        <v>0</v>
      </c>
      <c r="S16" s="306">
        <f t="shared" si="3"/>
        <v>0</v>
      </c>
      <c r="T16" s="306">
        <f t="shared" si="3"/>
        <v>0</v>
      </c>
      <c r="U16" s="306">
        <f t="shared" si="3"/>
        <v>0</v>
      </c>
      <c r="V16" s="306">
        <f t="shared" si="3"/>
        <v>0</v>
      </c>
      <c r="W16" s="306">
        <f t="shared" si="3"/>
        <v>0</v>
      </c>
      <c r="X16" s="306">
        <f t="shared" si="3"/>
        <v>0</v>
      </c>
      <c r="Y16" s="306">
        <f t="shared" si="3"/>
        <v>0</v>
      </c>
    </row>
    <row r="17" spans="2:25" s="35" customFormat="1" x14ac:dyDescent="0.2">
      <c r="B17" s="292"/>
      <c r="C17" s="292"/>
      <c r="D17" s="292" t="s">
        <v>143</v>
      </c>
      <c r="E17" s="297" t="s">
        <v>116</v>
      </c>
      <c r="F17" s="301">
        <v>0</v>
      </c>
      <c r="G17" s="306">
        <f>F17*(1+Окружение!E8)</f>
        <v>0</v>
      </c>
      <c r="H17" s="306">
        <f>G17*(1+Окружение!F8)</f>
        <v>0</v>
      </c>
      <c r="I17" s="306">
        <f>H17*(1+Окружение!G8)</f>
        <v>0</v>
      </c>
      <c r="J17" s="306">
        <f>I17*(1+Окружение!H8)</f>
        <v>0</v>
      </c>
      <c r="K17" s="306">
        <f>J17*(1+Окружение!I8)</f>
        <v>0</v>
      </c>
      <c r="L17" s="306">
        <f>K17*(1+Окружение!J8)</f>
        <v>0</v>
      </c>
      <c r="M17" s="306">
        <f>L17*(1+Окружение!K8)</f>
        <v>0</v>
      </c>
      <c r="N17" s="306">
        <f>M17*(1+Окружение!L8)</f>
        <v>0</v>
      </c>
      <c r="O17" s="306">
        <f>N17*(1+Окружение!M8)</f>
        <v>0</v>
      </c>
      <c r="P17" s="306">
        <f>O17*(1+Окружение!N8)</f>
        <v>0</v>
      </c>
      <c r="Q17" s="306">
        <f>P17*(1+Окружение!O8)</f>
        <v>0</v>
      </c>
      <c r="R17" s="306">
        <f>Q17*(1+Окружение!P8)</f>
        <v>0</v>
      </c>
      <c r="S17" s="306">
        <f>R17*(1+Окружение!Q8)</f>
        <v>0</v>
      </c>
      <c r="T17" s="306">
        <f>S17*(1+Окружение!R8)</f>
        <v>0</v>
      </c>
      <c r="U17" s="306">
        <f>T17*(1+Окружение!S8)</f>
        <v>0</v>
      </c>
      <c r="V17" s="306">
        <f>U17*(1+Окружение!T8)</f>
        <v>0</v>
      </c>
      <c r="W17" s="306">
        <f>V17*(1+Окружение!U8)</f>
        <v>0</v>
      </c>
      <c r="X17" s="306">
        <f>W17*(1+Окружение!V8)</f>
        <v>0</v>
      </c>
      <c r="Y17" s="306">
        <f>X17*(1+Окружение!W8)</f>
        <v>0</v>
      </c>
    </row>
    <row r="18" spans="2:25" s="35" customFormat="1" x14ac:dyDescent="0.2">
      <c r="B18" s="39" t="s">
        <v>36</v>
      </c>
      <c r="E18" s="80" t="s">
        <v>251</v>
      </c>
      <c r="F18" s="308">
        <f>((F8*F7+F10*F11+F14*F13+F16*F17)*'Пр-во и Продажи'!E20)/1000</f>
        <v>359.32307692307688</v>
      </c>
      <c r="G18" s="308">
        <f>((G8*G7+G10*G11+G14*G13+G16*G17)*'Пр-во и Продажи'!F20)/1000</f>
        <v>1280.5757409446724</v>
      </c>
      <c r="H18" s="308">
        <f>((H8*H7+H10*H11+H14*H13+H16*H17)*'Пр-во и Продажи'!G20)/1000</f>
        <v>2421.6016212416112</v>
      </c>
      <c r="I18" s="308">
        <f>((I8*I7+I10*I11+I14*I13+I16*I17)*'Пр-во и Продажи'!H20)/1000</f>
        <v>3793.5119643704843</v>
      </c>
      <c r="J18" s="308">
        <f>((J8*J7+J10*J11+J14*J13+J16*J17)*'Пр-во и Продажи'!I20)/1000</f>
        <v>4348.0877515726879</v>
      </c>
      <c r="K18" s="308">
        <f>((K8*K7+K10*K11+K14*K13+K16*K17)*'Пр-во и Продажи'!J20)/1000</f>
        <v>5020.65387804906</v>
      </c>
      <c r="L18" s="308">
        <f>((L8*L7+L10*L11+L14*L13+L16*L17)*'Пр-во и Продажи'!K20)/1000</f>
        <v>6118.2083292896241</v>
      </c>
      <c r="M18" s="308">
        <f>((M8*M7+M10*M11+M14*M13+M16*M17)*'Пр-во и Продажи'!L20)/1000</f>
        <v>7050.9532692758648</v>
      </c>
      <c r="N18" s="308">
        <f>((N8*N7+N10*N11+N14*N13+N16*N17)*'Пр-во и Продажи'!M20)/1000</f>
        <v>8813.4133216780865</v>
      </c>
      <c r="O18" s="308">
        <f>((O8*O7+O10*O11+O14*O13+O16*O17)*'Пр-во и Продажи'!N20)/1000</f>
        <v>10520.870579977885</v>
      </c>
      <c r="P18" s="308">
        <f>((P8*P7+P10*P11+P14*P13+P16*P17)*'Пр-во и Продажи'!O20)/1000</f>
        <v>11956.282482400318</v>
      </c>
      <c r="Q18" s="308">
        <f>((Q8*Q7+Q10*Q11+Q14*Q13+Q16*Q17)*'Пр-во и Продажи'!P20)/1000</f>
        <v>13539.874031580461</v>
      </c>
      <c r="R18" s="308">
        <f>((R8*R7+R10*R11+R14*R13+R16*R17)*'Пр-во и Продажи'!Q20)/1000</f>
        <v>15460.411472934646</v>
      </c>
      <c r="S18" s="308">
        <f>((S8*S7+S10*S11+S14*S13+S16*S17)*'Пр-во и Продажи'!R20)/1000</f>
        <v>17648.036152036068</v>
      </c>
      <c r="T18" s="308">
        <f>((T8*T7+T10*T11+T14*T13+T16*T17)*'Пр-во и Продажи'!S20)/1000</f>
        <v>21122.943357951768</v>
      </c>
      <c r="U18" s="308">
        <f>((U8*U7+U10*U11+U14*U13+U16*U17)*'Пр-во и Продажи'!T20)/1000</f>
        <v>22746.988373055181</v>
      </c>
      <c r="V18" s="308">
        <f>((V8*V7+V10*V11+V14*V13+V16*V17)*'Пр-во и Продажи'!U20)/1000</f>
        <v>16233.43204658138</v>
      </c>
      <c r="W18" s="308">
        <f>((W8*W7+W10*W11+W14*W13+W16*W17)*'Пр-во и Продажи'!V20)/1000</f>
        <v>18530.437959637875</v>
      </c>
      <c r="X18" s="308">
        <f>((X8*X7+X10*X11+X14*X13+X16*X17)*'Пр-во и Продажи'!W20)/1000</f>
        <v>22179.090525849366</v>
      </c>
      <c r="Y18" s="308">
        <f>((Y8*Y7+Y10*Y11+Y14*Y13+Y16*Y17)*'Пр-во и Продажи'!X20)/1000</f>
        <v>23884.337791707952</v>
      </c>
    </row>
    <row r="19" spans="2:25" s="35" customFormat="1" x14ac:dyDescent="0.2">
      <c r="B19" s="44" t="s">
        <v>139</v>
      </c>
      <c r="E19" s="80" t="s">
        <v>117</v>
      </c>
      <c r="F19" s="309">
        <f>F18-F18/(1+Окружение!D13)</f>
        <v>32.665734265734272</v>
      </c>
      <c r="G19" s="309">
        <f>G18-G18/(1+Окружение!E13)</f>
        <v>116.41597644951571</v>
      </c>
      <c r="H19" s="309">
        <f>H18-H18/(1+Окружение!F13)</f>
        <v>220.14560193105581</v>
      </c>
      <c r="I19" s="309">
        <f>I18-I18/(1+Окружение!G13)</f>
        <v>344.86472403368089</v>
      </c>
      <c r="J19" s="309">
        <f>J18-J18/(1+Окружение!H13)</f>
        <v>395.28070468842634</v>
      </c>
      <c r="K19" s="309">
        <f>K18-K18/(1+Окружение!I13)</f>
        <v>456.42307982264174</v>
      </c>
      <c r="L19" s="309">
        <f>L18-L18/(1+Окружение!J13)</f>
        <v>556.20075720814839</v>
      </c>
      <c r="M19" s="309">
        <f>M18-M18/(1+Окружение!K13)</f>
        <v>640.99575175235168</v>
      </c>
      <c r="N19" s="309">
        <f>N18-N18/(1+Окружение!L13)</f>
        <v>801.21939287982696</v>
      </c>
      <c r="O19" s="309">
        <f>O18-O18/(1+Окружение!M13)</f>
        <v>956.44277999799124</v>
      </c>
      <c r="P19" s="309">
        <f>P18-P18/(1+Окружение!N13)</f>
        <v>1086.9347711273022</v>
      </c>
      <c r="Q19" s="309">
        <f>Q18-Q18/(1+Окружение!O13)</f>
        <v>1230.8976392345885</v>
      </c>
      <c r="R19" s="309">
        <f>R18-R18/(1+Окружение!P13)</f>
        <v>1405.4919520849689</v>
      </c>
      <c r="S19" s="309">
        <f>S18-S18/(1+Окружение!Q13)</f>
        <v>1604.3669229123716</v>
      </c>
      <c r="T19" s="309">
        <f>T18-T18/(1+Окружение!R13)</f>
        <v>1920.2675779956153</v>
      </c>
      <c r="U19" s="309">
        <f>U18-U18/(1+Окружение!S13)</f>
        <v>2067.9080339141074</v>
      </c>
      <c r="V19" s="309">
        <f>V18-V18/(1+Окружение!T13)</f>
        <v>1475.7665496892168</v>
      </c>
      <c r="W19" s="309">
        <f>W18-W18/(1+Окружение!U13)</f>
        <v>1684.5852690579886</v>
      </c>
      <c r="X19" s="309">
        <f>X18-X18/(1+Окружение!V13)</f>
        <v>2016.2809568953999</v>
      </c>
      <c r="Y19" s="309">
        <f>Y18-Y18/(1+Окружение!W13)</f>
        <v>2171.3034356098142</v>
      </c>
    </row>
    <row r="20" spans="2:25" s="35" customFormat="1" x14ac:dyDescent="0.2">
      <c r="B20" s="36"/>
      <c r="E20" s="80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</row>
    <row r="21" spans="2:25" s="35" customFormat="1" x14ac:dyDescent="0.2">
      <c r="B21" s="284" t="s">
        <v>522</v>
      </c>
      <c r="C21" s="292"/>
      <c r="D21" s="292"/>
      <c r="E21" s="297"/>
      <c r="F21" s="300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305"/>
      <c r="Y21" s="305"/>
    </row>
    <row r="22" spans="2:25" s="35" customFormat="1" x14ac:dyDescent="0.2">
      <c r="B22" s="292"/>
      <c r="C22" s="293" t="s">
        <v>545</v>
      </c>
      <c r="D22" s="294"/>
      <c r="E22" s="297"/>
      <c r="F22" s="300"/>
      <c r="G22" s="305"/>
      <c r="H22" s="305"/>
      <c r="I22" s="305"/>
      <c r="J22" s="305"/>
      <c r="K22" s="305"/>
      <c r="L22" s="305"/>
      <c r="M22" s="305"/>
      <c r="N22" s="305"/>
      <c r="O22" s="305"/>
      <c r="P22" s="305"/>
      <c r="Q22" s="305"/>
      <c r="R22" s="305"/>
      <c r="S22" s="305"/>
      <c r="T22" s="305"/>
      <c r="U22" s="305"/>
      <c r="V22" s="305"/>
      <c r="W22" s="305"/>
      <c r="X22" s="305"/>
      <c r="Y22" s="305"/>
    </row>
    <row r="23" spans="2:25" s="35" customFormat="1" x14ac:dyDescent="0.2">
      <c r="B23" s="292"/>
      <c r="C23" s="292"/>
      <c r="D23" s="292" t="s">
        <v>142</v>
      </c>
      <c r="E23" s="295" t="s">
        <v>541</v>
      </c>
      <c r="F23" s="296">
        <v>0.01</v>
      </c>
      <c r="G23" s="303">
        <f>F23</f>
        <v>0.01</v>
      </c>
      <c r="H23" s="303">
        <f t="shared" ref="H23:Y23" si="4">G23</f>
        <v>0.01</v>
      </c>
      <c r="I23" s="303">
        <f t="shared" si="4"/>
        <v>0.01</v>
      </c>
      <c r="J23" s="303">
        <f t="shared" si="4"/>
        <v>0.01</v>
      </c>
      <c r="K23" s="303">
        <f t="shared" si="4"/>
        <v>0.01</v>
      </c>
      <c r="L23" s="303">
        <f t="shared" si="4"/>
        <v>0.01</v>
      </c>
      <c r="M23" s="303">
        <f t="shared" si="4"/>
        <v>0.01</v>
      </c>
      <c r="N23" s="303">
        <f t="shared" si="4"/>
        <v>0.01</v>
      </c>
      <c r="O23" s="303">
        <f t="shared" si="4"/>
        <v>0.01</v>
      </c>
      <c r="P23" s="303">
        <f t="shared" si="4"/>
        <v>0.01</v>
      </c>
      <c r="Q23" s="303">
        <f t="shared" si="4"/>
        <v>0.01</v>
      </c>
      <c r="R23" s="303">
        <f t="shared" si="4"/>
        <v>0.01</v>
      </c>
      <c r="S23" s="303">
        <f t="shared" si="4"/>
        <v>0.01</v>
      </c>
      <c r="T23" s="303">
        <f t="shared" si="4"/>
        <v>0.01</v>
      </c>
      <c r="U23" s="303">
        <f t="shared" si="4"/>
        <v>0.01</v>
      </c>
      <c r="V23" s="303">
        <f t="shared" si="4"/>
        <v>0.01</v>
      </c>
      <c r="W23" s="303">
        <f t="shared" si="4"/>
        <v>0.01</v>
      </c>
      <c r="X23" s="303">
        <f t="shared" si="4"/>
        <v>0.01</v>
      </c>
      <c r="Y23" s="303">
        <f t="shared" si="4"/>
        <v>0.01</v>
      </c>
    </row>
    <row r="24" spans="2:25" s="35" customFormat="1" x14ac:dyDescent="0.2">
      <c r="B24" s="292"/>
      <c r="C24" s="292"/>
      <c r="D24" s="292" t="s">
        <v>143</v>
      </c>
      <c r="E24" s="297" t="s">
        <v>116</v>
      </c>
      <c r="F24" s="296">
        <v>2520</v>
      </c>
      <c r="G24" s="303">
        <f>F24*(1+Окружение!E8)</f>
        <v>2565.9763947683964</v>
      </c>
      <c r="H24" s="303">
        <f>G24*(1+Окружение!F8)</f>
        <v>2612.7916105192926</v>
      </c>
      <c r="I24" s="303">
        <f>H24*(1+Окружение!G8)</f>
        <v>2660.4609512069073</v>
      </c>
      <c r="J24" s="303">
        <f>I24*(1+Окружение!H8)</f>
        <v>2710.5736283138522</v>
      </c>
      <c r="K24" s="303">
        <f>J24*(1+Окружение!I8)</f>
        <v>2761.630232226295</v>
      </c>
      <c r="L24" s="303">
        <f>K24*(1+Окружение!J8)</f>
        <v>2813.6485428327906</v>
      </c>
      <c r="M24" s="303">
        <f>L24*(1+Окружение!K8)</f>
        <v>2866.6466749254423</v>
      </c>
      <c r="N24" s="303">
        <f>M24*(1+Окружение!L8)</f>
        <v>2908.7114072531967</v>
      </c>
      <c r="O24" s="303">
        <f>N24*(1+Окружение!M8)</f>
        <v>2951.3933909922548</v>
      </c>
      <c r="P24" s="303">
        <f>O24*(1+Окружение!N8)</f>
        <v>2994.701683594873</v>
      </c>
      <c r="Q24" s="303">
        <f>P24*(1+Окружение!O8)</f>
        <v>3038.645475420969</v>
      </c>
      <c r="R24" s="303">
        <f>Q24*(1+Окружение!P8)</f>
        <v>3075.9364450420749</v>
      </c>
      <c r="S24" s="303">
        <f>R24*(1+Окружение!Q8)</f>
        <v>3113.6850581844569</v>
      </c>
      <c r="T24" s="303">
        <f>S24*(1+Окружение!R8)</f>
        <v>3151.8969311566934</v>
      </c>
      <c r="U24" s="303">
        <f>T24*(1+Окружение!S8)</f>
        <v>3190.577749192018</v>
      </c>
      <c r="V24" s="303">
        <f>U24*(1+Окружение!T8)</f>
        <v>3229.7332672941793</v>
      </c>
      <c r="W24" s="303">
        <f>V24*(1+Окружение!U8)</f>
        <v>3269.3693110936806</v>
      </c>
      <c r="X24" s="303">
        <f>W24*(1+Окружение!V8)</f>
        <v>3309.4917777145292</v>
      </c>
      <c r="Y24" s="303">
        <f>X24*(1+Окружение!W8)</f>
        <v>3350.1066366516202</v>
      </c>
    </row>
    <row r="25" spans="2:25" s="35" customFormat="1" x14ac:dyDescent="0.2">
      <c r="B25" s="292"/>
      <c r="C25" s="293" t="s">
        <v>543</v>
      </c>
      <c r="D25" s="294"/>
      <c r="E25" s="297"/>
      <c r="F25" s="299"/>
      <c r="G25" s="304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</row>
    <row r="26" spans="2:25" s="35" customFormat="1" x14ac:dyDescent="0.2">
      <c r="B26" s="292"/>
      <c r="C26" s="292"/>
      <c r="D26" s="292" t="s">
        <v>142</v>
      </c>
      <c r="E26" s="295" t="s">
        <v>542</v>
      </c>
      <c r="F26" s="296">
        <v>75</v>
      </c>
      <c r="G26" s="303">
        <f>F26</f>
        <v>75</v>
      </c>
      <c r="H26" s="303">
        <f t="shared" ref="H26:Y26" si="5">G26</f>
        <v>75</v>
      </c>
      <c r="I26" s="303">
        <f t="shared" si="5"/>
        <v>75</v>
      </c>
      <c r="J26" s="303">
        <f t="shared" si="5"/>
        <v>75</v>
      </c>
      <c r="K26" s="303">
        <f t="shared" si="5"/>
        <v>75</v>
      </c>
      <c r="L26" s="303">
        <f t="shared" si="5"/>
        <v>75</v>
      </c>
      <c r="M26" s="303">
        <f t="shared" si="5"/>
        <v>75</v>
      </c>
      <c r="N26" s="303">
        <f t="shared" si="5"/>
        <v>75</v>
      </c>
      <c r="O26" s="303">
        <f t="shared" si="5"/>
        <v>75</v>
      </c>
      <c r="P26" s="303">
        <f t="shared" si="5"/>
        <v>75</v>
      </c>
      <c r="Q26" s="303">
        <f t="shared" si="5"/>
        <v>75</v>
      </c>
      <c r="R26" s="303">
        <f t="shared" si="5"/>
        <v>75</v>
      </c>
      <c r="S26" s="303">
        <f t="shared" si="5"/>
        <v>75</v>
      </c>
      <c r="T26" s="303">
        <f t="shared" si="5"/>
        <v>75</v>
      </c>
      <c r="U26" s="303">
        <f t="shared" si="5"/>
        <v>75</v>
      </c>
      <c r="V26" s="303">
        <f t="shared" si="5"/>
        <v>75</v>
      </c>
      <c r="W26" s="303">
        <f t="shared" si="5"/>
        <v>75</v>
      </c>
      <c r="X26" s="303">
        <f t="shared" si="5"/>
        <v>75</v>
      </c>
      <c r="Y26" s="303">
        <f t="shared" si="5"/>
        <v>75</v>
      </c>
    </row>
    <row r="27" spans="2:25" s="35" customFormat="1" x14ac:dyDescent="0.2">
      <c r="B27" s="292"/>
      <c r="C27" s="292"/>
      <c r="D27" s="292" t="s">
        <v>143</v>
      </c>
      <c r="E27" s="297" t="s">
        <v>116</v>
      </c>
      <c r="F27" s="296">
        <v>1</v>
      </c>
      <c r="G27" s="303">
        <f>F27*(1+Окружение!E8)</f>
        <v>1.01824460109857</v>
      </c>
      <c r="H27" s="303">
        <f>G27*(1+Окружение!F8)</f>
        <v>1.036822067666386</v>
      </c>
      <c r="I27" s="303">
        <f>H27*(1+Окружение!G8)</f>
        <v>1.0557384727011536</v>
      </c>
      <c r="J27" s="303">
        <f>I27*(1+Окружение!H8)</f>
        <v>1.0756244556801</v>
      </c>
      <c r="K27" s="303">
        <f>J27*(1+Окружение!I8)</f>
        <v>1.0958850127882123</v>
      </c>
      <c r="L27" s="303">
        <f>K27*(1+Окружение!J8)</f>
        <v>1.1165271995368218</v>
      </c>
      <c r="M27" s="303">
        <f>L27*(1+Окружение!K8)</f>
        <v>1.1375582043354933</v>
      </c>
      <c r="N27" s="303">
        <f>M27*(1+Окружение!L8)</f>
        <v>1.1542505584338085</v>
      </c>
      <c r="O27" s="303">
        <f>N27*(1+Окружение!M8)</f>
        <v>1.1711878535683553</v>
      </c>
      <c r="P27" s="303">
        <f>O27*(1+Окружение!N8)</f>
        <v>1.1883736839662196</v>
      </c>
      <c r="Q27" s="303">
        <f>P27*(1+Окружение!O8)</f>
        <v>1.2058116965956227</v>
      </c>
      <c r="R27" s="303">
        <f>Q27*(1+Окружение!P8)</f>
        <v>1.2206097004135219</v>
      </c>
      <c r="S27" s="303">
        <f>R27*(1+Окружение!Q8)</f>
        <v>1.235589308803356</v>
      </c>
      <c r="T27" s="303">
        <f>S27*(1+Окружение!R8)</f>
        <v>1.2507527504590055</v>
      </c>
      <c r="U27" s="303">
        <f>T27*(1+Окружение!S8)</f>
        <v>1.2661022814254042</v>
      </c>
      <c r="V27" s="303">
        <f>U27*(1+Окружение!T8)</f>
        <v>1.2816401854341983</v>
      </c>
      <c r="W27" s="303">
        <f>V27*(1+Окружение!U8)</f>
        <v>1.2973687742435243</v>
      </c>
      <c r="X27" s="303">
        <f>W27*(1+Окружение!V8)</f>
        <v>1.3132903879819562</v>
      </c>
      <c r="Y27" s="303">
        <f>X27*(1+Окружение!W8)</f>
        <v>1.3294073954966747</v>
      </c>
    </row>
    <row r="28" spans="2:25" s="35" customFormat="1" x14ac:dyDescent="0.2">
      <c r="B28" s="39" t="s">
        <v>37</v>
      </c>
      <c r="E28" s="80" t="s">
        <v>117</v>
      </c>
      <c r="F28" s="308">
        <f>((F23*F24+F26*F27)*'Пр-во и Продажи'!E21)/1000</f>
        <v>3864.8571428571431</v>
      </c>
      <c r="G28" s="308">
        <f>((G23*G24+G26*G27)*'Пр-во и Продажи'!F21)/1000</f>
        <v>5830.1776588615267</v>
      </c>
      <c r="H28" s="308">
        <f>((H23*H24+H26*H27)*'Пр-во и Продажи'!G21)/1000</f>
        <v>8162.7520212992195</v>
      </c>
      <c r="I28" s="308">
        <f>((I23*I24+I26*I27)*'Пр-во и Продажи'!H21)/1000</f>
        <v>9822.8923895751632</v>
      </c>
      <c r="J28" s="308">
        <f>((J23*J24+J26*J27)*'Пр-во и Продажи'!I21)/1000</f>
        <v>18322.186978054826</v>
      </c>
      <c r="K28" s="308">
        <f>((K23*K24+K26*K27)*'Пр-во и Продажи'!J21)/1000</f>
        <v>24157.689221903351</v>
      </c>
      <c r="L28" s="308">
        <f>((L23*L24+L26*L27)*'Пр-во и Продажи'!K21)/1000</f>
        <v>38037.848633820438</v>
      </c>
      <c r="M28" s="308">
        <f>((M23*M24+M26*M27)*'Пр-во и Продажи'!L21)/1000</f>
        <v>47872.999471254901</v>
      </c>
      <c r="N28" s="308">
        <f>((N23*N24+N26*N27)*'Пр-во и Продажи'!M21)/1000</f>
        <v>56671.393917983121</v>
      </c>
      <c r="O28" s="308">
        <f>((O23*O24+O26*O27)*'Пр-во и Продажи'!N21)/1000</f>
        <v>66891.223068703053</v>
      </c>
      <c r="P28" s="308">
        <f>((P23*P24+P26*P27)*'Пр-во и Продажи'!O21)/1000</f>
        <v>73826.526742717411</v>
      </c>
      <c r="Q28" s="308">
        <f>((Q23*Q24+Q26*Q27)*'Пр-во и Продажи'!P21)/1000</f>
        <v>82159.18575923935</v>
      </c>
      <c r="R28" s="308">
        <f>((R23*R24+R26*R27)*'Пр-во и Продажи'!Q21)/1000</f>
        <v>89282.717146447467</v>
      </c>
      <c r="S28" s="308">
        <f>((S23*S24+S26*S27)*'Пр-во и Продажи'!R21)/1000</f>
        <v>95330.657531414137</v>
      </c>
      <c r="T28" s="308">
        <f>((T23*T24+T26*T27)*'Пр-во и Продажи'!S21)/1000</f>
        <v>101513.5947327538</v>
      </c>
      <c r="U28" s="308">
        <f>((U23*U24+U26*U27)*'Пр-во и Продажи'!T21)/1000</f>
        <v>112908.46925295467</v>
      </c>
      <c r="V28" s="308">
        <f>((V23*V24+V26*V27)*'Пр-во и Продажи'!U21)/1000</f>
        <v>119430.92231987118</v>
      </c>
      <c r="W28" s="308">
        <f>((W23*W24+W26*W27)*'Пр-во и Продажи'!V21)/1000</f>
        <v>128696.38766740912</v>
      </c>
      <c r="X28" s="308">
        <f>((X23*X24+X26*X27)*'Пр-во и Продажи'!W21)/1000</f>
        <v>138171.2817195816</v>
      </c>
      <c r="Y28" s="308">
        <f>((Y23*Y24+Y26*Y27)*'Пр-во и Продажи'!X21)/1000</f>
        <v>149191.41555221882</v>
      </c>
    </row>
    <row r="29" spans="2:25" s="35" customFormat="1" x14ac:dyDescent="0.2">
      <c r="B29" s="44" t="s">
        <v>139</v>
      </c>
      <c r="E29" s="80" t="s">
        <v>117</v>
      </c>
      <c r="F29" s="309">
        <f>F28-F28/(1+Окружение!D13)</f>
        <v>351.35064935064975</v>
      </c>
      <c r="G29" s="309">
        <f>G28-G28/(1+Окружение!E13)</f>
        <v>530.0161508055935</v>
      </c>
      <c r="H29" s="309">
        <f>H28-H28/(1+Окружение!F13)</f>
        <v>742.06836557265706</v>
      </c>
      <c r="I29" s="309">
        <f>I28-I28/(1+Окружение!G13)</f>
        <v>892.99021723410624</v>
      </c>
      <c r="J29" s="309">
        <f>J28-J28/(1+Окружение!H13)</f>
        <v>1665.6533616413508</v>
      </c>
      <c r="K29" s="309">
        <f>K28-K28/(1+Окружение!I13)</f>
        <v>2196.1535656275773</v>
      </c>
      <c r="L29" s="309">
        <f>L28-L28/(1+Окружение!J13)</f>
        <v>3457.9862394382217</v>
      </c>
      <c r="M29" s="309">
        <f>M28-M28/(1+Окружение!K13)</f>
        <v>4352.0908610231781</v>
      </c>
      <c r="N29" s="309">
        <f>N28-N28/(1+Окружение!L13)</f>
        <v>5151.9449016348299</v>
      </c>
      <c r="O29" s="309">
        <f>O28-O28/(1+Окружение!M13)</f>
        <v>6081.0202789730101</v>
      </c>
      <c r="P29" s="309">
        <f>P28-P28/(1+Окружение!N13)</f>
        <v>6711.5024311561283</v>
      </c>
      <c r="Q29" s="309">
        <f>Q28-Q28/(1+Окружение!O13)</f>
        <v>7469.0168872035865</v>
      </c>
      <c r="R29" s="309">
        <f>R28-R28/(1+Окружение!P13)</f>
        <v>8116.6106496770517</v>
      </c>
      <c r="S29" s="309">
        <f>S28-S28/(1+Окружение!Q13)</f>
        <v>8666.4234119467437</v>
      </c>
      <c r="T29" s="309">
        <f>T28-T28/(1+Окружение!R13)</f>
        <v>9228.5086120685301</v>
      </c>
      <c r="U29" s="309">
        <f>U28-U28/(1+Окружение!S13)</f>
        <v>10264.406295723165</v>
      </c>
      <c r="V29" s="309">
        <f>V28-V28/(1+Окружение!T13)</f>
        <v>10857.356574533755</v>
      </c>
      <c r="W29" s="309">
        <f>W28-W28/(1+Окружение!U13)</f>
        <v>11699.671606128104</v>
      </c>
      <c r="X29" s="309">
        <f>X28-X28/(1+Окружение!V13)</f>
        <v>12561.02561087106</v>
      </c>
      <c r="Y29" s="309">
        <f>Y28-Y28/(1+Окружение!W13)</f>
        <v>13562.855959292618</v>
      </c>
    </row>
    <row r="30" spans="2:25" s="35" customFormat="1" x14ac:dyDescent="0.2">
      <c r="E30" s="80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spans="2:25" s="35" customFormat="1" x14ac:dyDescent="0.2">
      <c r="B31" s="44"/>
      <c r="E31" s="80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</row>
    <row r="32" spans="2:25" s="35" customFormat="1" x14ac:dyDescent="0.2">
      <c r="B32" s="43" t="s">
        <v>144</v>
      </c>
      <c r="E32" s="80" t="s">
        <v>117</v>
      </c>
      <c r="F32" s="84">
        <f>F35+F37+F39+F41+F44+F46</f>
        <v>4224.180219780219</v>
      </c>
      <c r="G32" s="84">
        <f t="shared" ref="G32:Y32" si="6">G35+G37+G39+G41+G44+G46</f>
        <v>7110.753399806199</v>
      </c>
      <c r="H32" s="84">
        <f t="shared" si="6"/>
        <v>10584.353642540831</v>
      </c>
      <c r="I32" s="84">
        <f t="shared" si="6"/>
        <v>13616.404353945647</v>
      </c>
      <c r="J32" s="84">
        <f t="shared" si="6"/>
        <v>22670.274729627512</v>
      </c>
      <c r="K32" s="84">
        <f t="shared" si="6"/>
        <v>29178.34309995241</v>
      </c>
      <c r="L32" s="84">
        <f t="shared" si="6"/>
        <v>44156.056963110066</v>
      </c>
      <c r="M32" s="84">
        <f t="shared" si="6"/>
        <v>54923.95274053076</v>
      </c>
      <c r="N32" s="84">
        <f t="shared" si="6"/>
        <v>65484.807239661211</v>
      </c>
      <c r="O32" s="84">
        <f t="shared" si="6"/>
        <v>77412.093648680922</v>
      </c>
      <c r="P32" s="84">
        <f t="shared" si="6"/>
        <v>85782.80922511773</v>
      </c>
      <c r="Q32" s="84">
        <f t="shared" si="6"/>
        <v>95699.059790819811</v>
      </c>
      <c r="R32" s="84">
        <f t="shared" si="6"/>
        <v>104743.1286193821</v>
      </c>
      <c r="S32" s="84">
        <f t="shared" si="6"/>
        <v>112978.6936834502</v>
      </c>
      <c r="T32" s="84">
        <f t="shared" si="6"/>
        <v>122636.53809070557</v>
      </c>
      <c r="U32" s="84">
        <f t="shared" si="6"/>
        <v>135655.45762600988</v>
      </c>
      <c r="V32" s="84">
        <f t="shared" si="6"/>
        <v>135664.35436645258</v>
      </c>
      <c r="W32" s="84">
        <f t="shared" si="6"/>
        <v>147226.82562704699</v>
      </c>
      <c r="X32" s="84">
        <f t="shared" si="6"/>
        <v>160350.37224543095</v>
      </c>
      <c r="Y32" s="84">
        <f t="shared" si="6"/>
        <v>173075.7533439268</v>
      </c>
    </row>
    <row r="33" spans="2:25" s="35" customFormat="1" x14ac:dyDescent="0.2">
      <c r="B33" s="44" t="s">
        <v>139</v>
      </c>
      <c r="E33" s="80" t="s">
        <v>117</v>
      </c>
      <c r="F33" s="87">
        <f>F36+F40+F42+F38+F45+F47</f>
        <v>384.01638361638402</v>
      </c>
      <c r="G33" s="87">
        <f t="shared" ref="G33:Y33" si="7">G36+G40+G42+G38+G45+G47</f>
        <v>646.43212725510966</v>
      </c>
      <c r="H33" s="87">
        <f t="shared" si="7"/>
        <v>962.2139675037123</v>
      </c>
      <c r="I33" s="87">
        <f t="shared" si="7"/>
        <v>1237.854941267788</v>
      </c>
      <c r="J33" s="87">
        <f t="shared" si="7"/>
        <v>2060.9340663297753</v>
      </c>
      <c r="K33" s="87">
        <f t="shared" si="7"/>
        <v>2652.5766454502213</v>
      </c>
      <c r="L33" s="87">
        <f t="shared" si="7"/>
        <v>4014.1869966463719</v>
      </c>
      <c r="M33" s="87">
        <f t="shared" si="7"/>
        <v>4993.0866127755289</v>
      </c>
      <c r="N33" s="87">
        <f t="shared" si="7"/>
        <v>5953.1642945146586</v>
      </c>
      <c r="O33" s="87">
        <f t="shared" si="7"/>
        <v>7037.4630589709977</v>
      </c>
      <c r="P33" s="87">
        <f t="shared" si="7"/>
        <v>7798.4372022834377</v>
      </c>
      <c r="Q33" s="87">
        <f t="shared" si="7"/>
        <v>8699.914526438175</v>
      </c>
      <c r="R33" s="87">
        <f t="shared" si="7"/>
        <v>9522.102601762017</v>
      </c>
      <c r="S33" s="87">
        <f t="shared" si="7"/>
        <v>10270.790334859115</v>
      </c>
      <c r="T33" s="87">
        <f t="shared" si="7"/>
        <v>11148.776190064154</v>
      </c>
      <c r="U33" s="87">
        <f t="shared" si="7"/>
        <v>12332.314329637275</v>
      </c>
      <c r="V33" s="87">
        <f t="shared" si="7"/>
        <v>12333.123124222966</v>
      </c>
      <c r="W33" s="87">
        <f t="shared" si="7"/>
        <v>13384.256875186096</v>
      </c>
      <c r="X33" s="87">
        <f t="shared" si="7"/>
        <v>14577.306567766467</v>
      </c>
      <c r="Y33" s="87">
        <f t="shared" si="7"/>
        <v>15734.15939490245</v>
      </c>
    </row>
    <row r="34" spans="2:25" s="35" customFormat="1" x14ac:dyDescent="0.2">
      <c r="B34" s="36" t="s">
        <v>35</v>
      </c>
      <c r="E34" s="80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</row>
    <row r="35" spans="2:25" s="35" customFormat="1" x14ac:dyDescent="0.2">
      <c r="B35" s="36"/>
      <c r="C35" s="36" t="s">
        <v>44</v>
      </c>
      <c r="E35" s="80" t="s">
        <v>117</v>
      </c>
      <c r="F35" s="15">
        <f>(F7*F8*'Пр-во и Продажи'!E20)/1000</f>
        <v>310.15384615384613</v>
      </c>
      <c r="G35" s="15">
        <f>(G7*G8*'Пр-во и Продажи'!F20)/1000</f>
        <v>1105.343677746386</v>
      </c>
      <c r="H35" s="15">
        <f>(H7*H8*'Пр-во и Продажи'!G20)/1000</f>
        <v>2090.2332884154339</v>
      </c>
      <c r="I35" s="15">
        <f>(I7*I8*'Пр-во и Продажи'!H20)/1000</f>
        <v>3274.4134784085013</v>
      </c>
      <c r="J35" s="15">
        <f>(J7*J8*'Пр-во и Продажи'!I20)/1000</f>
        <v>3753.1019468961031</v>
      </c>
      <c r="K35" s="15">
        <f>(K7*K8*'Пр-во и Продажи'!J20)/1000</f>
        <v>4333.6351336474163</v>
      </c>
      <c r="L35" s="15">
        <f>(L7*L8*'Пр-во и Продажи'!K20)/1000</f>
        <v>5281.0018803938528</v>
      </c>
      <c r="M35" s="15">
        <f>(M7*M8*'Пр-во и Продажи'!L20)/1000</f>
        <v>6086.1114021494013</v>
      </c>
      <c r="N35" s="15">
        <f>(N7*N8*'Пр-во и Продажи'!M20)/1000</f>
        <v>7607.3990651237455</v>
      </c>
      <c r="O35" s="15">
        <f>(O7*O8*'Пр-во и Продажи'!N20)/1000</f>
        <v>9081.2104338223235</v>
      </c>
      <c r="P35" s="15">
        <f>(P7*P8*'Пр-во и Продажи'!O20)/1000</f>
        <v>10320.20272500387</v>
      </c>
      <c r="Q35" s="15">
        <f>(Q7*Q8*'Пр-во и Продажи'!P20)/1000</f>
        <v>11687.097982388344</v>
      </c>
      <c r="R35" s="15">
        <f>(R7*R8*'Пр-во и Продажи'!Q20)/1000</f>
        <v>13344.831961567153</v>
      </c>
      <c r="S35" s="15">
        <f>(S7*S8*'Пр-во и Продажи'!R20)/1000</f>
        <v>15233.105361579343</v>
      </c>
      <c r="T35" s="15">
        <f>(T7*T8*'Пр-во и Продажи'!S20)/1000</f>
        <v>18232.511478691027</v>
      </c>
      <c r="U35" s="15">
        <f>(U7*U8*'Пр-во и Продажи'!T20)/1000</f>
        <v>19634.324610412419</v>
      </c>
      <c r="V35" s="15">
        <f>(V7*V8*'Пр-во и Продажи'!U20)/1000</f>
        <v>14012.073559645514</v>
      </c>
      <c r="W35" s="15">
        <f>(W7*W8*'Пр-во и Продажи'!V20)/1000</f>
        <v>15994.760629658313</v>
      </c>
      <c r="X35" s="15">
        <f>(X7*X8*'Пр-во и Продажи'!W20)/1000</f>
        <v>19144.137052625585</v>
      </c>
      <c r="Y35" s="15">
        <f>(Y7*Y8*'Пр-во и Продажи'!X20)/1000</f>
        <v>20616.040840933052</v>
      </c>
    </row>
    <row r="36" spans="2:25" s="35" customFormat="1" x14ac:dyDescent="0.2">
      <c r="C36" s="44" t="s">
        <v>139</v>
      </c>
      <c r="E36" s="80" t="s">
        <v>117</v>
      </c>
      <c r="F36" s="47">
        <f>F35-F35/(1+Окружение!D13)</f>
        <v>28.195804195804214</v>
      </c>
      <c r="G36" s="47">
        <f>G35-G35/(1+Окружение!E13)</f>
        <v>100.48578888603515</v>
      </c>
      <c r="H36" s="47">
        <f>H35-H35/(1+Окружение!F13)</f>
        <v>190.02120803776688</v>
      </c>
      <c r="I36" s="47">
        <f>I35-I35/(1+Окружение!G13)</f>
        <v>297.67395258259148</v>
      </c>
      <c r="J36" s="47">
        <f>J35-J35/(1+Окружение!H13)</f>
        <v>341.19108608146416</v>
      </c>
      <c r="K36" s="47">
        <f>K35-K35/(1+Окружение!I13)</f>
        <v>393.96683033158342</v>
      </c>
      <c r="L36" s="47">
        <f>L35-L35/(1+Окружение!J13)</f>
        <v>480.09108003580513</v>
      </c>
      <c r="M36" s="47">
        <f>M35-M35/(1+Окружение!K13)</f>
        <v>553.28285474085533</v>
      </c>
      <c r="N36" s="47">
        <f>N35-N35/(1+Окружение!L13)</f>
        <v>691.58173319306843</v>
      </c>
      <c r="O36" s="47">
        <f>O35-O35/(1+Окружение!M13)</f>
        <v>825.56458489293982</v>
      </c>
      <c r="P36" s="47">
        <f>P35-P35/(1+Окружение!N13)</f>
        <v>938.20024772762554</v>
      </c>
      <c r="Q36" s="47">
        <f>Q35-Q35/(1+Окружение!O13)</f>
        <v>1062.4634529443956</v>
      </c>
      <c r="R36" s="47">
        <f>R35-R35/(1+Окружение!P13)</f>
        <v>1213.1665419606506</v>
      </c>
      <c r="S36" s="47">
        <f>S35-S35/(1+Окружение!Q13)</f>
        <v>1384.8277601435784</v>
      </c>
      <c r="T36" s="47">
        <f>T35-T35/(1+Окружение!R13)</f>
        <v>1657.5010435173681</v>
      </c>
      <c r="U36" s="47">
        <f>U35-U35/(1+Окружение!S13)</f>
        <v>1784.9386009465852</v>
      </c>
      <c r="V36" s="47">
        <f>V35-V35/(1+Окружение!T13)</f>
        <v>1273.8248690586843</v>
      </c>
      <c r="W36" s="47">
        <f>W35-W35/(1+Окружение!U13)</f>
        <v>1454.0691481507565</v>
      </c>
      <c r="X36" s="47">
        <f>X35-X35/(1+Окружение!V13)</f>
        <v>1740.3760956932347</v>
      </c>
      <c r="Y36" s="47">
        <f>Y35-Y35/(1+Окружение!W13)</f>
        <v>1874.1855309939165</v>
      </c>
    </row>
    <row r="37" spans="2:25" s="35" customFormat="1" x14ac:dyDescent="0.2">
      <c r="B37" s="36"/>
      <c r="C37" s="36" t="s">
        <v>45</v>
      </c>
      <c r="E37" s="80" t="s">
        <v>117</v>
      </c>
      <c r="F37" s="82">
        <f>(F10*F11*'Пр-во и Продажи'!E20)/1000</f>
        <v>46.153846153846146</v>
      </c>
      <c r="G37" s="82">
        <f>(G10*G11*'Пр-во и Продажи'!F20)/1000</f>
        <v>164.48566633130744</v>
      </c>
      <c r="H37" s="82">
        <f>(H10*H11*'Пр-во и Продажи'!G20)/1000</f>
        <v>311.04662029991573</v>
      </c>
      <c r="I37" s="82">
        <f>(I10*I11*'Пр-во и Продажи'!H20)/1000</f>
        <v>487.2639104774554</v>
      </c>
      <c r="J37" s="82">
        <f>(J10*J11*'Пр-во и Продажи'!I20)/1000</f>
        <v>558.49731352620574</v>
      </c>
      <c r="K37" s="82">
        <f>(K10*K11*'Пр-во и Продажи'!J20)/1000</f>
        <v>644.88618060229408</v>
      </c>
      <c r="L37" s="82">
        <f>(L10*L11*'Пр-во и Продажи'!K20)/1000</f>
        <v>785.86337505860899</v>
      </c>
      <c r="M37" s="82">
        <f>(M10*M11*'Пр-во и Продажи'!L20)/1000</f>
        <v>905.67133960556555</v>
      </c>
      <c r="N37" s="82">
        <f>(N10*N11*'Пр-во и Продажи'!M20)/1000</f>
        <v>1132.053432310081</v>
      </c>
      <c r="O37" s="82">
        <f>(O10*O11*'Пр-во и Продажи'!N20)/1000</f>
        <v>1351.3706002711788</v>
      </c>
      <c r="P37" s="82">
        <f>(P10*P11*'Пр-во и Продажи'!O20)/1000</f>
        <v>1535.7444531255758</v>
      </c>
      <c r="Q37" s="82">
        <f>(Q10*Q11*'Пр-во и Продажи'!P20)/1000</f>
        <v>1739.1514854744557</v>
      </c>
      <c r="R37" s="82">
        <f>(R10*R11*'Пр-во и Продажи'!Q20)/1000</f>
        <v>1985.8380895189218</v>
      </c>
      <c r="S37" s="82">
        <f>(S10*S11*'Пр-во и Продажи'!R20)/1000</f>
        <v>2266.8311549969258</v>
      </c>
      <c r="T37" s="82">
        <f>(T10*T11*'Пр-во и Продажи'!S20)/1000</f>
        <v>2713.171350995689</v>
      </c>
      <c r="U37" s="82">
        <f>(U10*U11*'Пр-во и Продажи'!T20)/1000</f>
        <v>2921.7744955970866</v>
      </c>
      <c r="V37" s="82">
        <f>(V10*V11*'Пр-во и Продажи'!U20)/1000</f>
        <v>2085.129993994869</v>
      </c>
      <c r="W37" s="82">
        <f>(W10*W11*'Пр-во и Продажи'!V20)/1000</f>
        <v>2380.1727127467734</v>
      </c>
      <c r="X37" s="82">
        <f>(X10*X11*'Пр-во и Продажи'!W20)/1000</f>
        <v>2848.8299185454748</v>
      </c>
      <c r="Y37" s="82">
        <f>(Y10*Y11*'Пр-во и Продажи'!X20)/1000</f>
        <v>3067.8632203769416</v>
      </c>
    </row>
    <row r="38" spans="2:25" s="35" customFormat="1" x14ac:dyDescent="0.2">
      <c r="C38" s="44" t="s">
        <v>139</v>
      </c>
      <c r="E38" s="80" t="s">
        <v>117</v>
      </c>
      <c r="F38" s="47">
        <f>F37-F37/(1+Окружение!D13)</f>
        <v>4.1958041958042003</v>
      </c>
      <c r="G38" s="47">
        <f>G37-G37/(1+Окружение!E13)</f>
        <v>14.953242393755232</v>
      </c>
      <c r="H38" s="47">
        <f>H37-H37/(1+Окружение!F13)</f>
        <v>28.276965481810521</v>
      </c>
      <c r="I38" s="47">
        <f>I37-I37/(1+Окружение!G13)</f>
        <v>44.296719134314174</v>
      </c>
      <c r="J38" s="47">
        <f>J37-J37/(1+Окружение!H13)</f>
        <v>50.772483047836943</v>
      </c>
      <c r="K38" s="47">
        <f>K37-K37/(1+Окружение!I13)</f>
        <v>58.626016418390464</v>
      </c>
      <c r="L38" s="47">
        <f>L37-L37/(1+Окружение!J13)</f>
        <v>71.442125005328194</v>
      </c>
      <c r="M38" s="47">
        <f>M37-M37/(1+Окружение!K13)</f>
        <v>82.333758145960587</v>
      </c>
      <c r="N38" s="47">
        <f>N37-N37/(1+Окружение!L13)</f>
        <v>102.91394839182567</v>
      </c>
      <c r="O38" s="47">
        <f>O37-O37/(1+Окружение!M13)</f>
        <v>122.85187275192538</v>
      </c>
      <c r="P38" s="47">
        <f>P37-P37/(1+Окружение!N13)</f>
        <v>139.61313210232515</v>
      </c>
      <c r="Q38" s="47">
        <f>Q37-Q37/(1+Окружение!O13)</f>
        <v>158.10468049767792</v>
      </c>
      <c r="R38" s="47">
        <f>R37-R37/(1+Окружение!P13)</f>
        <v>180.5307354108113</v>
      </c>
      <c r="S38" s="47">
        <f>S37-S37/(1+Окружение!Q13)</f>
        <v>206.07555954517511</v>
      </c>
      <c r="T38" s="47">
        <f>T37-T37/(1+Окружение!R13)</f>
        <v>246.65194099960809</v>
      </c>
      <c r="U38" s="47">
        <f>U37-U37/(1+Окружение!S13)</f>
        <v>265.6158632360989</v>
      </c>
      <c r="V38" s="47">
        <f>V37-V37/(1+Окружение!T13)</f>
        <v>189.55727218135189</v>
      </c>
      <c r="W38" s="47">
        <f>W37-W37/(1+Окружение!U13)</f>
        <v>216.37933752243407</v>
      </c>
      <c r="X38" s="47">
        <f>X37-X37/(1+Окружение!V13)</f>
        <v>258.98453804958899</v>
      </c>
      <c r="Y38" s="47">
        <f>Y37-Y37/(1+Окружение!W13)</f>
        <v>278.89665639790383</v>
      </c>
    </row>
    <row r="39" spans="2:25" s="35" customFormat="1" x14ac:dyDescent="0.2">
      <c r="B39" s="36"/>
      <c r="C39" s="36" t="s">
        <v>46</v>
      </c>
      <c r="E39" s="80" t="s">
        <v>117</v>
      </c>
      <c r="F39" s="29">
        <f>(F13*F14*'Пр-во и Продажи'!E20)/1000</f>
        <v>3.0153846153846153</v>
      </c>
      <c r="G39" s="29">
        <f>(G13*G14*'Пр-во и Продажи'!F20)/1000</f>
        <v>10.746396866978754</v>
      </c>
      <c r="H39" s="29">
        <f>(H13*H14*'Пр-во и Продажи'!G20)/1000</f>
        <v>20.321712526261159</v>
      </c>
      <c r="I39" s="29">
        <f>(I13*I14*'Пр-во и Продажи'!H20)/1000</f>
        <v>31.83457548452709</v>
      </c>
      <c r="J39" s="29">
        <f>(J13*J14*'Пр-во и Продажи'!I20)/1000</f>
        <v>36.488491150378778</v>
      </c>
      <c r="K39" s="29">
        <f>(K13*K14*'Пр-во и Продажи'!J20)/1000</f>
        <v>42.132563799349882</v>
      </c>
      <c r="L39" s="29">
        <f>(L13*L14*'Пр-во и Продажи'!K20)/1000</f>
        <v>51.343073837162471</v>
      </c>
      <c r="M39" s="29">
        <f>(M13*M14*'Пр-во и Продажи'!L20)/1000</f>
        <v>59.170527520896961</v>
      </c>
      <c r="N39" s="29">
        <f>(N13*N14*'Пр-во и Продажи'!M20)/1000</f>
        <v>73.960824244258646</v>
      </c>
      <c r="O39" s="29">
        <f>(O13*O14*'Пр-во и Продажи'!N20)/1000</f>
        <v>88.289545884383713</v>
      </c>
      <c r="P39" s="29">
        <f>(P13*P14*'Пр-во и Продажи'!O20)/1000</f>
        <v>100.33530427087098</v>
      </c>
      <c r="Q39" s="29">
        <f>(Q13*Q14*'Пр-во и Продажи'!P20)/1000</f>
        <v>113.62456371766447</v>
      </c>
      <c r="R39" s="29">
        <f>(R13*R14*'Пр-во и Продажи'!Q20)/1000</f>
        <v>129.74142184856959</v>
      </c>
      <c r="S39" s="29">
        <f>(S13*S14*'Пр-во и Продажи'!R20)/1000</f>
        <v>148.09963545979917</v>
      </c>
      <c r="T39" s="29">
        <f>(T13*T14*'Пр-во и Продажи'!S20)/1000</f>
        <v>177.26052826505173</v>
      </c>
      <c r="U39" s="29">
        <f>(U13*U14*'Пр-во и Продажи'!T20)/1000</f>
        <v>190.88926704567632</v>
      </c>
      <c r="V39" s="29">
        <f>(V13*V14*'Пр-во и Продажи'!U20)/1000</f>
        <v>136.22849294099808</v>
      </c>
      <c r="W39" s="29">
        <f>(W13*W14*'Пр-во и Продажи'!V20)/1000</f>
        <v>155.50461723278917</v>
      </c>
      <c r="X39" s="29">
        <f>(X13*X14*'Пр-во и Продажи'!W20)/1000</f>
        <v>186.12355467830432</v>
      </c>
      <c r="Y39" s="29">
        <f>(Y13*Y14*'Пр-во и Продажи'!X20)/1000</f>
        <v>200.4337303979602</v>
      </c>
    </row>
    <row r="40" spans="2:25" s="35" customFormat="1" x14ac:dyDescent="0.2">
      <c r="B40" s="44"/>
      <c r="C40" s="44" t="s">
        <v>139</v>
      </c>
      <c r="E40" s="80" t="s">
        <v>117</v>
      </c>
      <c r="F40" s="47">
        <f>F39-F39/(1+Окружение!D13)</f>
        <v>0.27412587412587452</v>
      </c>
      <c r="G40" s="47">
        <f>G39-G39/(1+Окружение!E13)</f>
        <v>0.97694516972534196</v>
      </c>
      <c r="H40" s="47">
        <f>H39-H39/(1+Окружение!F13)</f>
        <v>1.8474284114782904</v>
      </c>
      <c r="I40" s="47">
        <f>I39-I39/(1+Окружение!G13)</f>
        <v>2.8940523167751913</v>
      </c>
      <c r="J40" s="47">
        <f>J39-J39/(1+Окружение!H13)</f>
        <v>3.3171355591253473</v>
      </c>
      <c r="K40" s="47">
        <f>K39-K39/(1+Окружение!I13)</f>
        <v>3.8302330726681717</v>
      </c>
      <c r="L40" s="47">
        <f>L39-L39/(1+Окружение!J13)</f>
        <v>4.6675521670147759</v>
      </c>
      <c r="M40" s="47">
        <f>M39-M39/(1+Окружение!K13)</f>
        <v>5.3791388655360919</v>
      </c>
      <c r="N40" s="47">
        <f>N39-N39/(1+Окружение!L13)</f>
        <v>6.7237112949326132</v>
      </c>
      <c r="O40" s="47">
        <f>O39-O39/(1+Окружение!M13)</f>
        <v>8.0263223531257921</v>
      </c>
      <c r="P40" s="47">
        <f>P39-P39/(1+Окружение!N13)</f>
        <v>9.12139129735192</v>
      </c>
      <c r="Q40" s="47">
        <f>Q39-Q39/(1+Окружение!O13)</f>
        <v>10.329505792514965</v>
      </c>
      <c r="R40" s="47">
        <f>R39-R39/(1+Окружение!P13)</f>
        <v>11.794674713506339</v>
      </c>
      <c r="S40" s="47">
        <f>S39-S39/(1+Окружение!Q13)</f>
        <v>13.463603223618122</v>
      </c>
      <c r="T40" s="47">
        <f>T39-T39/(1+Окружение!R13)</f>
        <v>16.114593478641069</v>
      </c>
      <c r="U40" s="47">
        <f>U39-U39/(1+Окружение!S13)</f>
        <v>17.353569731425125</v>
      </c>
      <c r="V40" s="47">
        <f>V39-V39/(1+Окружение!T13)</f>
        <v>12.384408449181649</v>
      </c>
      <c r="W40" s="47">
        <f>W39-W39/(1+Окружение!U13)</f>
        <v>14.136783384799031</v>
      </c>
      <c r="X40" s="47">
        <f>X39-X39/(1+Окружение!V13)</f>
        <v>16.920323152573133</v>
      </c>
      <c r="Y40" s="47">
        <f>Y39-Y39/(1+Окружение!W13)</f>
        <v>18.22124821799639</v>
      </c>
    </row>
    <row r="41" spans="2:25" s="35" customFormat="1" x14ac:dyDescent="0.2">
      <c r="B41" s="36"/>
      <c r="C41" s="36" t="s">
        <v>328</v>
      </c>
      <c r="E41" s="80" t="s">
        <v>117</v>
      </c>
      <c r="F41" s="29">
        <f>(F16*F17*'Пр-во и Продажи'!E20)/1000</f>
        <v>0</v>
      </c>
      <c r="G41" s="29">
        <f>(G16*G17*'Пр-во и Продажи'!F20)/1000</f>
        <v>0</v>
      </c>
      <c r="H41" s="29">
        <f>(H16*H17*'Пр-во и Продажи'!G20)/1000</f>
        <v>0</v>
      </c>
      <c r="I41" s="29">
        <f>(I16*I17*'Пр-во и Продажи'!H20)/1000</f>
        <v>0</v>
      </c>
      <c r="J41" s="29">
        <f>(J16*J17*'Пр-во и Продажи'!I20)/1000</f>
        <v>0</v>
      </c>
      <c r="K41" s="29">
        <f>(K16*K17*'Пр-во и Продажи'!J20)/1000</f>
        <v>0</v>
      </c>
      <c r="L41" s="29">
        <f>(L16*L17*'Пр-во и Продажи'!K20)/1000</f>
        <v>0</v>
      </c>
      <c r="M41" s="29">
        <f>(M16*M17*'Пр-во и Продажи'!L20)/1000</f>
        <v>0</v>
      </c>
      <c r="N41" s="29">
        <f>(N16*N17*'Пр-во и Продажи'!M20)/1000</f>
        <v>0</v>
      </c>
      <c r="O41" s="29">
        <f>(O16*O17*'Пр-во и Продажи'!N20)/1000</f>
        <v>0</v>
      </c>
      <c r="P41" s="29">
        <f>(P16*P17*'Пр-во и Продажи'!O20)/1000</f>
        <v>0</v>
      </c>
      <c r="Q41" s="29">
        <f>(Q16*Q17*'Пр-во и Продажи'!P20)/1000</f>
        <v>0</v>
      </c>
      <c r="R41" s="29">
        <f>(R16*R17*'Пр-во и Продажи'!Q20)/1000</f>
        <v>0</v>
      </c>
      <c r="S41" s="29">
        <f>(S16*S17*'Пр-во и Продажи'!R20)/1000</f>
        <v>0</v>
      </c>
      <c r="T41" s="29">
        <f>(T16*T17*'Пр-во и Продажи'!S20)/1000</f>
        <v>0</v>
      </c>
      <c r="U41" s="29">
        <f>(U16*U17*'Пр-во и Продажи'!T20)/1000</f>
        <v>0</v>
      </c>
      <c r="V41" s="29">
        <f>(V16*V17*'Пр-во и Продажи'!U20)/1000</f>
        <v>0</v>
      </c>
      <c r="W41" s="29">
        <f>(W16*W17*'Пр-во и Продажи'!V20)/1000</f>
        <v>0</v>
      </c>
      <c r="X41" s="29">
        <f>(X16*X17*'Пр-во и Продажи'!W20)/1000</f>
        <v>0</v>
      </c>
      <c r="Y41" s="29">
        <f>(Y16*Y17*'Пр-во и Продажи'!X20)/1000</f>
        <v>0</v>
      </c>
    </row>
    <row r="42" spans="2:25" s="35" customFormat="1" x14ac:dyDescent="0.2">
      <c r="B42" s="44"/>
      <c r="C42" s="44" t="s">
        <v>139</v>
      </c>
      <c r="E42" s="80" t="s">
        <v>117</v>
      </c>
      <c r="F42" s="47">
        <f>F41-F41/(1+Окружение!D13)</f>
        <v>0</v>
      </c>
      <c r="G42" s="47">
        <f>G41-G41/(1+Окружение!E13)</f>
        <v>0</v>
      </c>
      <c r="H42" s="47">
        <f>H41-H41/(1+Окружение!F13)</f>
        <v>0</v>
      </c>
      <c r="I42" s="47">
        <f>I41-I41/(1+Окружение!G13)</f>
        <v>0</v>
      </c>
      <c r="J42" s="47">
        <f>J41-J41/(1+Окружение!H13)</f>
        <v>0</v>
      </c>
      <c r="K42" s="47">
        <f>K41-K41/(1+Окружение!I13)</f>
        <v>0</v>
      </c>
      <c r="L42" s="47">
        <f>L41-L41/(1+Окружение!J13)</f>
        <v>0</v>
      </c>
      <c r="M42" s="47">
        <f>M41-M41/(1+Окружение!K13)</f>
        <v>0</v>
      </c>
      <c r="N42" s="47">
        <f>N41-N41/(1+Окружение!L13)</f>
        <v>0</v>
      </c>
      <c r="O42" s="47">
        <f>O41-O41/(1+Окружение!M13)</f>
        <v>0</v>
      </c>
      <c r="P42" s="47">
        <f>P41-P41/(1+Окружение!N13)</f>
        <v>0</v>
      </c>
      <c r="Q42" s="47">
        <f>Q41-Q41/(1+Окружение!O13)</f>
        <v>0</v>
      </c>
      <c r="R42" s="47">
        <f>R41-R41/(1+Окружение!P13)</f>
        <v>0</v>
      </c>
      <c r="S42" s="47">
        <f>S41-S41/(1+Окружение!Q13)</f>
        <v>0</v>
      </c>
      <c r="T42" s="47">
        <f>T41-T41/(1+Окружение!R13)</f>
        <v>0</v>
      </c>
      <c r="U42" s="47">
        <f>U41-U41/(1+Окружение!S13)</f>
        <v>0</v>
      </c>
      <c r="V42" s="47">
        <f>V41-V41/(1+Окружение!T13)</f>
        <v>0</v>
      </c>
      <c r="W42" s="47">
        <f>W41-W41/(1+Окружение!U13)</f>
        <v>0</v>
      </c>
      <c r="X42" s="47">
        <f>X41-X41/(1+Окружение!V13)</f>
        <v>0</v>
      </c>
      <c r="Y42" s="47">
        <f>Y41-Y41/(1+Окружение!W13)</f>
        <v>0</v>
      </c>
    </row>
    <row r="43" spans="2:25" s="35" customFormat="1" x14ac:dyDescent="0.2">
      <c r="B43" s="284" t="s">
        <v>522</v>
      </c>
      <c r="E43" s="80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 spans="2:25" s="35" customFormat="1" x14ac:dyDescent="0.2">
      <c r="B44" s="36"/>
      <c r="C44" s="36" t="s">
        <v>47</v>
      </c>
      <c r="E44" s="80" t="s">
        <v>117</v>
      </c>
      <c r="F44" s="29">
        <f>F23*F24*'Пр-во и Продажи'!E21/1000</f>
        <v>972</v>
      </c>
      <c r="G44" s="29">
        <f>G23*G24*'Пр-во и Продажи'!F21/1000</f>
        <v>1466.2722255819408</v>
      </c>
      <c r="H44" s="29">
        <f>H23*H24*'Пр-во и Продажи'!G21/1000</f>
        <v>2052.9076939794445</v>
      </c>
      <c r="I44" s="29">
        <f>I23*I24*'Пр-во и Продажи'!H21/1000</f>
        <v>2470.4280261207</v>
      </c>
      <c r="J44" s="29">
        <f>J23*J24*'Пр-во и Продажи'!I21/1000</f>
        <v>4607.9751681335483</v>
      </c>
      <c r="K44" s="29">
        <f>K23*K24*'Пр-во и Продажи'!J21/1000</f>
        <v>6075.5865108978487</v>
      </c>
      <c r="L44" s="29">
        <f>L23*L24*'Пр-во и Продажи'!K21/1000</f>
        <v>9566.4050456314872</v>
      </c>
      <c r="M44" s="29">
        <f>M23*M24*'Пр-во и Продажи'!L21/1000</f>
        <v>12039.916034686858</v>
      </c>
      <c r="N44" s="29">
        <f>N23*N24*'Пр-во и Продажи'!M21/1000</f>
        <v>14252.685895540664</v>
      </c>
      <c r="O44" s="29">
        <f>O23*O24*'Пр-во и Продажи'!N21/1000</f>
        <v>16822.942328655852</v>
      </c>
      <c r="P44" s="29">
        <f>P23*P24*'Пр-во и Продажи'!O21/1000</f>
        <v>18567.150438288212</v>
      </c>
      <c r="Q44" s="29">
        <f>Q23*Q24*'Пр-во и Продажи'!P21/1000</f>
        <v>20662.789232862589</v>
      </c>
      <c r="R44" s="29">
        <f>R23*R24*'Пр-во и Продажи'!Q21/1000</f>
        <v>22454.336048807145</v>
      </c>
      <c r="S44" s="29">
        <f>S23*S24*'Пр-во и Продажи'!R21/1000</f>
        <v>23975.374948020319</v>
      </c>
      <c r="T44" s="29">
        <f>T23*T24*'Пр-во и Продажи'!S21/1000</f>
        <v>25530.365142369217</v>
      </c>
      <c r="U44" s="29">
        <f>U23*U24*'Пр-во и Продажи'!T21/1000</f>
        <v>28396.141967808959</v>
      </c>
      <c r="V44" s="29">
        <f>V23*V24*'Пр-во и Продажи'!U21/1000</f>
        <v>30036.519385835869</v>
      </c>
      <c r="W44" s="29">
        <f>W23*W24*'Пр-во и Продажи'!V21/1000</f>
        <v>32366.756179827436</v>
      </c>
      <c r="X44" s="29">
        <f>X23*X24*'Пр-во и Продажи'!W21/1000</f>
        <v>34749.663666002554</v>
      </c>
      <c r="Y44" s="29">
        <f>Y23*Y24*'Пр-во и Продажи'!X21/1000</f>
        <v>37521.194330498154</v>
      </c>
    </row>
    <row r="45" spans="2:25" s="35" customFormat="1" x14ac:dyDescent="0.2">
      <c r="C45" s="44" t="s">
        <v>139</v>
      </c>
      <c r="E45" s="80" t="s">
        <v>117</v>
      </c>
      <c r="F45" s="47">
        <f>F44-F44/(1+Окружение!D13)</f>
        <v>88.363636363636488</v>
      </c>
      <c r="G45" s="47">
        <f>G44-G44/(1+Окружение!E13)</f>
        <v>133.29747505290379</v>
      </c>
      <c r="H45" s="47">
        <f>H44-H44/(1+Окружение!F13)</f>
        <v>186.62797217994967</v>
      </c>
      <c r="I45" s="47">
        <f>I44-I44/(1+Окружение!G13)</f>
        <v>224.5843660109731</v>
      </c>
      <c r="J45" s="47">
        <f>J44-J44/(1+Окружение!H13)</f>
        <v>418.90683346668629</v>
      </c>
      <c r="K45" s="47">
        <f>K44-K44/(1+Окружение!I13)</f>
        <v>552.32604644525964</v>
      </c>
      <c r="L45" s="47">
        <f>L44-L44/(1+Окружение!J13)</f>
        <v>869.67318596649966</v>
      </c>
      <c r="M45" s="47">
        <f>M44-M44/(1+Окружение!K13)</f>
        <v>1094.5378213351705</v>
      </c>
      <c r="N45" s="47">
        <f>N44-N44/(1+Окружение!L13)</f>
        <v>1295.6987177764258</v>
      </c>
      <c r="O45" s="47">
        <f>O44-O44/(1+Окружение!M13)</f>
        <v>1529.3583935141687</v>
      </c>
      <c r="P45" s="47">
        <f>P44-P44/(1+Окружение!N13)</f>
        <v>1687.9227671171102</v>
      </c>
      <c r="Q45" s="47">
        <f>Q44-Q44/(1+Окружение!O13)</f>
        <v>1878.4353848056926</v>
      </c>
      <c r="R45" s="47">
        <f>R44-R44/(1+Окружение!P13)</f>
        <v>2041.3032771642866</v>
      </c>
      <c r="S45" s="47">
        <f>S44-S44/(1+Окружение!Q13)</f>
        <v>2179.5795407291225</v>
      </c>
      <c r="T45" s="47">
        <f>T44-T44/(1+Окружение!R13)</f>
        <v>2320.9422856699312</v>
      </c>
      <c r="U45" s="47">
        <f>U44-U44/(1+Окружение!S13)</f>
        <v>2581.4674516189989</v>
      </c>
      <c r="V45" s="47">
        <f>V44-V44/(1+Окружение!T13)</f>
        <v>2730.5926714396264</v>
      </c>
      <c r="W45" s="47">
        <f>W44-W44/(1+Окружение!U13)</f>
        <v>2942.432379984315</v>
      </c>
      <c r="X45" s="47">
        <f>X44-X44/(1+Окружение!V13)</f>
        <v>3159.0603332729625</v>
      </c>
      <c r="Y45" s="47">
        <f>Y44-Y44/(1+Окружение!W13)</f>
        <v>3411.0176664089231</v>
      </c>
    </row>
    <row r="46" spans="2:25" s="35" customFormat="1" x14ac:dyDescent="0.2">
      <c r="B46" s="36"/>
      <c r="C46" s="36" t="s">
        <v>48</v>
      </c>
      <c r="E46" s="80" t="s">
        <v>117</v>
      </c>
      <c r="F46" s="29">
        <f>F26*F27*'Пр-во и Продажи'!E21/1000</f>
        <v>2892.8571428571427</v>
      </c>
      <c r="G46" s="29">
        <f>G26*G27*'Пр-во и Продажи'!F21/1000</f>
        <v>4363.9054332795858</v>
      </c>
      <c r="H46" s="29">
        <f>H26*H27*'Пр-во и Продажи'!G21/1000</f>
        <v>6109.8443273197745</v>
      </c>
      <c r="I46" s="29">
        <f>I26*I27*'Пр-во и Продажи'!H21/1000</f>
        <v>7352.4643634544636</v>
      </c>
      <c r="J46" s="29">
        <f>J26*J27*'Пр-во и Продажи'!I21/1000</f>
        <v>13714.211809921277</v>
      </c>
      <c r="K46" s="29">
        <f>K26*K27*'Пр-во и Продажи'!J21/1000</f>
        <v>18082.1027110055</v>
      </c>
      <c r="L46" s="29">
        <f>L26*L27*'Пр-во и Продажи'!K21/1000</f>
        <v>28471.443588188955</v>
      </c>
      <c r="M46" s="29">
        <f>M26*M27*'Пр-во и Продажи'!L21/1000</f>
        <v>35833.083436568035</v>
      </c>
      <c r="N46" s="29">
        <f>N26*N27*'Пр-во и Продажи'!M21/1000</f>
        <v>42418.708022442457</v>
      </c>
      <c r="O46" s="29">
        <f>O26*O27*'Пр-во и Продажи'!N21/1000</f>
        <v>50068.280740047187</v>
      </c>
      <c r="P46" s="29">
        <f>P26*P27*'Пр-во и Продажи'!O21/1000</f>
        <v>55259.376304429206</v>
      </c>
      <c r="Q46" s="29">
        <f>Q26*Q27*'Пр-во и Продажи'!P21/1000</f>
        <v>61496.396526376753</v>
      </c>
      <c r="R46" s="29">
        <f>R26*R27*'Пр-во и Продажи'!Q21/1000</f>
        <v>66828.381097640318</v>
      </c>
      <c r="S46" s="29">
        <f>S26*S27*'Пр-во и Продажи'!R21/1000</f>
        <v>71355.282583393811</v>
      </c>
      <c r="T46" s="29">
        <f>T26*T27*'Пр-во и Продажи'!S21/1000</f>
        <v>75983.229590384581</v>
      </c>
      <c r="U46" s="29">
        <f>U26*U27*'Пр-во и Продажи'!T21/1000</f>
        <v>84512.32728514573</v>
      </c>
      <c r="V46" s="29">
        <f>V26*V27*'Пр-во и Продажи'!U21/1000</f>
        <v>89394.40293403533</v>
      </c>
      <c r="W46" s="29">
        <f>W26*W27*'Пр-во и Продажи'!V21/1000</f>
        <v>96329.63148758169</v>
      </c>
      <c r="X46" s="29">
        <f>X26*X27*'Пр-во и Продажи'!W21/1000</f>
        <v>103421.61805357905</v>
      </c>
      <c r="Y46" s="29">
        <f>Y26*Y27*'Пр-во и Продажи'!X21/1000</f>
        <v>111670.22122172068</v>
      </c>
    </row>
    <row r="47" spans="2:25" s="35" customFormat="1" x14ac:dyDescent="0.2">
      <c r="C47" s="44" t="s">
        <v>139</v>
      </c>
      <c r="E47" s="80" t="s">
        <v>117</v>
      </c>
      <c r="F47" s="47">
        <f>F46-F46/(1+Окружение!D13)</f>
        <v>262.98701298701326</v>
      </c>
      <c r="G47" s="47">
        <f>G46-G46/(1+Окружение!E13)</f>
        <v>396.71867575269016</v>
      </c>
      <c r="H47" s="47">
        <f>H46-H46/(1+Окружение!F13)</f>
        <v>555.44039339270694</v>
      </c>
      <c r="I47" s="47">
        <f>I46-I46/(1+Окружение!G13)</f>
        <v>668.40585122313405</v>
      </c>
      <c r="J47" s="47">
        <f>J46-J46/(1+Окружение!H13)</f>
        <v>1246.7465281746627</v>
      </c>
      <c r="K47" s="47">
        <f>K46-K46/(1+Окружение!I13)</f>
        <v>1643.8275191823195</v>
      </c>
      <c r="L47" s="47">
        <f>L46-L46/(1+Окружение!J13)</f>
        <v>2588.3130534717238</v>
      </c>
      <c r="M47" s="47">
        <f>M46-M46/(1+Окружение!K13)</f>
        <v>3257.5530396880058</v>
      </c>
      <c r="N47" s="47">
        <f>N46-N46/(1+Окружение!L13)</f>
        <v>3856.2461838584059</v>
      </c>
      <c r="O47" s="47">
        <f>O46-O46/(1+Окружение!M13)</f>
        <v>4551.6618854588378</v>
      </c>
      <c r="P47" s="47">
        <f>P46-P46/(1+Окружение!N13)</f>
        <v>5023.5796640390254</v>
      </c>
      <c r="Q47" s="47">
        <f>Q46-Q46/(1+Окружение!O13)</f>
        <v>5590.5815023978939</v>
      </c>
      <c r="R47" s="47">
        <f>R46-R46/(1+Окружение!P13)</f>
        <v>6075.3073725127615</v>
      </c>
      <c r="S47" s="47">
        <f>S46-S46/(1+Окружение!Q13)</f>
        <v>6486.8438712176212</v>
      </c>
      <c r="T47" s="47">
        <f>T46-T46/(1+Окружение!R13)</f>
        <v>6907.5663263986062</v>
      </c>
      <c r="U47" s="47">
        <f>U46-U46/(1+Окружение!S13)</f>
        <v>7682.9388441041665</v>
      </c>
      <c r="V47" s="47">
        <f>V46-V46/(1+Окружение!T13)</f>
        <v>8126.7639030941209</v>
      </c>
      <c r="W47" s="47">
        <f>W46-W46/(1+Окружение!U13)</f>
        <v>8757.2392261437926</v>
      </c>
      <c r="X47" s="47">
        <f>X46-X46/(1+Окружение!V13)</f>
        <v>9401.9652775981085</v>
      </c>
      <c r="Y47" s="47">
        <f>Y46-Y46/(1+Окружение!W13)</f>
        <v>10151.838292883709</v>
      </c>
    </row>
    <row r="48" spans="2:25" s="35" customFormat="1" x14ac:dyDescent="0.2">
      <c r="B48" s="44"/>
      <c r="C48" s="44"/>
      <c r="E48" s="80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</row>
    <row r="49" spans="1:25" s="35" customFormat="1" x14ac:dyDescent="0.2">
      <c r="A49" s="85" t="s">
        <v>520</v>
      </c>
      <c r="B49" s="36"/>
      <c r="E49" s="80"/>
    </row>
    <row r="50" spans="1:25" s="35" customFormat="1" x14ac:dyDescent="0.2">
      <c r="B50" s="36" t="s">
        <v>32</v>
      </c>
      <c r="E50" s="80" t="s">
        <v>117</v>
      </c>
      <c r="F50" s="30">
        <v>20</v>
      </c>
      <c r="G50" s="29">
        <f>F50*(1+Окружение!E8)</f>
        <v>20.3648920219714</v>
      </c>
      <c r="H50" s="29">
        <f>G50*(1+Окружение!F8)</f>
        <v>20.736441353327717</v>
      </c>
      <c r="I50" s="29">
        <f>H50*(1+Окружение!G8)</f>
        <v>21.114769454023072</v>
      </c>
      <c r="J50" s="29">
        <f>40*(1+Окружение!H8)</f>
        <v>40.753443527659542</v>
      </c>
      <c r="K50" s="29">
        <f>J50*(1+Окружение!I8)</f>
        <v>41.521078984053389</v>
      </c>
      <c r="L50" s="29">
        <f>K50*(1+Окружение!J8)</f>
        <v>42.303173689602787</v>
      </c>
      <c r="M50" s="29">
        <f>L50*(1+Окружение!K8)</f>
        <v>43.100000000000009</v>
      </c>
      <c r="N50" s="29">
        <f>M50*(1+Окружение!L8)</f>
        <v>43.732442769869223</v>
      </c>
      <c r="O50" s="29">
        <f>N50*(1+Окружение!M8)</f>
        <v>44.374165907653982</v>
      </c>
      <c r="P50" s="29">
        <f>O50*(1+Окружение!N8)</f>
        <v>45.025305592045463</v>
      </c>
      <c r="Q50" s="29">
        <f>P50*(1+Окружение!O8)</f>
        <v>45.686000000000014</v>
      </c>
      <c r="R50" s="29">
        <f>Q50*(1+Окружение!P8)</f>
        <v>46.246669302125106</v>
      </c>
      <c r="S50" s="29">
        <f>R50*(1+Окружение!Q8)</f>
        <v>46.814219269363043</v>
      </c>
      <c r="T50" s="29">
        <f>S50*(1+Окружение!R8)</f>
        <v>47.388734342849119</v>
      </c>
      <c r="U50" s="29">
        <f>T50*(1+Окружение!S8)</f>
        <v>47.97030000000003</v>
      </c>
      <c r="V50" s="29">
        <f>U50*(1+Окружение!T8)</f>
        <v>48.559002767231377</v>
      </c>
      <c r="W50" s="29">
        <f>V50*(1+Окружение!U8)</f>
        <v>49.154930232831212</v>
      </c>
      <c r="X50" s="29">
        <f>W50*(1+Окружение!V8)</f>
        <v>49.758171059991589</v>
      </c>
      <c r="Y50" s="29">
        <f>X50*(1+Окружение!W8)</f>
        <v>50.368815000000048</v>
      </c>
    </row>
    <row r="51" spans="1:25" s="35" customFormat="1" x14ac:dyDescent="0.2">
      <c r="B51" s="44" t="s">
        <v>139</v>
      </c>
      <c r="E51" s="80" t="s">
        <v>117</v>
      </c>
      <c r="F51" s="47">
        <f>F50-F50/(1+Окружение!D13)</f>
        <v>1.8181818181818201</v>
      </c>
      <c r="G51" s="47">
        <f>G50-G50/(1+Окружение!E13)</f>
        <v>1.8513538201792201</v>
      </c>
      <c r="H51" s="47">
        <f>H50-H50/(1+Окружение!F13)</f>
        <v>1.8851310321207038</v>
      </c>
      <c r="I51" s="47">
        <f>I50-I50/(1+Окружение!G13)</f>
        <v>1.91952449582028</v>
      </c>
      <c r="J51" s="47">
        <f>J50-J50/(1+Окружение!H13)</f>
        <v>3.7048585025145044</v>
      </c>
      <c r="K51" s="47">
        <f>K50-K50/(1+Окружение!I13)</f>
        <v>3.77464354400486</v>
      </c>
      <c r="L51" s="47">
        <f>L50-L50/(1+Окружение!J13)</f>
        <v>3.8457430626911631</v>
      </c>
      <c r="M51" s="47">
        <f>M50-M50/(1+Окружение!K13)</f>
        <v>3.9181818181818215</v>
      </c>
      <c r="N51" s="47">
        <f>N50-N50/(1+Окружение!L13)</f>
        <v>3.9756766154426586</v>
      </c>
      <c r="O51" s="47">
        <f>O50-O50/(1+Окружение!M13)</f>
        <v>4.0340150825140029</v>
      </c>
      <c r="P51" s="47">
        <f>P50-P50/(1+Окружение!N13)</f>
        <v>4.0932095992768609</v>
      </c>
      <c r="Q51" s="47">
        <f>Q50-Q50/(1+Окружение!O13)</f>
        <v>4.1532727272727286</v>
      </c>
      <c r="R51" s="47">
        <f>R50-R50/(1+Окружение!P13)</f>
        <v>4.2042426638295609</v>
      </c>
      <c r="S51" s="47">
        <f>S50-S50/(1+Окружение!Q13)</f>
        <v>4.2558381153966423</v>
      </c>
      <c r="T51" s="47">
        <f>T50-T50/(1+Окружение!R13)</f>
        <v>4.3080667584408303</v>
      </c>
      <c r="U51" s="47">
        <f>U50-U50/(1+Окружение!S13)</f>
        <v>4.3609363636363696</v>
      </c>
      <c r="V51" s="47">
        <f>V50-V50/(1+Окружение!T13)</f>
        <v>4.4144547970210368</v>
      </c>
      <c r="W51" s="47">
        <f>W50-W50/(1+Окружение!U13)</f>
        <v>4.4686300211664758</v>
      </c>
      <c r="X51" s="47">
        <f>X50-X50/(1+Окружение!V13)</f>
        <v>4.5234700963628782</v>
      </c>
      <c r="Y51" s="47">
        <f>Y50-Y50/(1+Окружение!W13)</f>
        <v>4.5789831818181881</v>
      </c>
    </row>
    <row r="52" spans="1:25" s="35" customFormat="1" x14ac:dyDescent="0.2">
      <c r="B52" s="36" t="s">
        <v>33</v>
      </c>
      <c r="E52" s="80" t="s">
        <v>117</v>
      </c>
      <c r="F52" s="30">
        <v>150</v>
      </c>
      <c r="G52" s="29">
        <f>F52*(1+Окружение!E8)</f>
        <v>152.7366901647855</v>
      </c>
      <c r="H52" s="29">
        <f>G52*(1+Окружение!F8)</f>
        <v>155.52331014995789</v>
      </c>
      <c r="I52" s="29">
        <f>H52*(1+Окружение!G8)</f>
        <v>158.36077090517304</v>
      </c>
      <c r="J52" s="29">
        <f>I52*(1+Окружение!H8)</f>
        <v>161.34366835201502</v>
      </c>
      <c r="K52" s="29">
        <f>J52*(1+Окружение!I8)</f>
        <v>164.38275191823186</v>
      </c>
      <c r="L52" s="29">
        <f>K52*(1+Окружение!J8)</f>
        <v>167.47907993052328</v>
      </c>
      <c r="M52" s="29">
        <f>L52*(1+Окружение!K8)</f>
        <v>170.633730650324</v>
      </c>
      <c r="N52" s="29">
        <f>M52*(1+Окружение!L8)</f>
        <v>173.1375837650713</v>
      </c>
      <c r="O52" s="29">
        <f>N52*(1+Окружение!M8)</f>
        <v>175.67817803525332</v>
      </c>
      <c r="P52" s="29">
        <f>O52*(1+Окружение!N8)</f>
        <v>178.25605259493298</v>
      </c>
      <c r="Q52" s="29">
        <f>P52*(1+Окружение!O8)</f>
        <v>180.87175448934346</v>
      </c>
      <c r="R52" s="29">
        <f>Q52*(1+Окружение!P8)</f>
        <v>183.09145506202833</v>
      </c>
      <c r="S52" s="29">
        <f>R52*(1+Окружение!Q8)</f>
        <v>185.33839632050348</v>
      </c>
      <c r="T52" s="29">
        <f>S52*(1+Окружение!R8)</f>
        <v>187.6129125688509</v>
      </c>
      <c r="U52" s="29">
        <f>T52*(1+Окружение!S8)</f>
        <v>189.9153422138107</v>
      </c>
      <c r="V52" s="29">
        <f>U52*(1+Окружение!T8)</f>
        <v>192.24602781512982</v>
      </c>
      <c r="W52" s="29">
        <f>V52*(1+Окружение!U8)</f>
        <v>194.60531613652873</v>
      </c>
      <c r="X52" s="29">
        <f>W52*(1+Окружение!V8)</f>
        <v>196.99355819729351</v>
      </c>
      <c r="Y52" s="29">
        <f>X52*(1+Окружение!W8)</f>
        <v>199.4111093245013</v>
      </c>
    </row>
    <row r="53" spans="1:25" s="35" customFormat="1" x14ac:dyDescent="0.2">
      <c r="B53" s="44" t="s">
        <v>139</v>
      </c>
      <c r="E53" s="80" t="s">
        <v>117</v>
      </c>
      <c r="F53" s="47">
        <f>F52-F52/(1+Окружение!D13)</f>
        <v>13.636363636363654</v>
      </c>
      <c r="G53" s="47">
        <f>G52-G52/(1+Окружение!E13)</f>
        <v>13.885153651344154</v>
      </c>
      <c r="H53" s="47">
        <f>H52-H52/(1+Окружение!F13)</f>
        <v>14.13848274090526</v>
      </c>
      <c r="I53" s="47">
        <f>I52-I52/(1+Окружение!G13)</f>
        <v>14.396433718652105</v>
      </c>
      <c r="J53" s="47">
        <f>J52-J52/(1+Окружение!H13)</f>
        <v>14.667606213819568</v>
      </c>
      <c r="K53" s="47">
        <f>K52-K52/(1+Окружение!I13)</f>
        <v>14.943886538021104</v>
      </c>
      <c r="L53" s="47">
        <f>L52-L52/(1+Окружение!J13)</f>
        <v>15.22537090277487</v>
      </c>
      <c r="M53" s="47">
        <f>M52-M52/(1+Окружение!K13)</f>
        <v>15.512157331847646</v>
      </c>
      <c r="N53" s="47">
        <f>N52-N52/(1+Окружение!L13)</f>
        <v>15.739780342279232</v>
      </c>
      <c r="O53" s="47">
        <f>O52-O52/(1+Окружение!M13)</f>
        <v>15.970743457750302</v>
      </c>
      <c r="P53" s="47">
        <f>P52-P52/(1+Окружение!N13)</f>
        <v>16.205095690448474</v>
      </c>
      <c r="Q53" s="47">
        <f>Q52-Q52/(1+Окружение!O13)</f>
        <v>16.442886771758509</v>
      </c>
      <c r="R53" s="47">
        <f>R52-R52/(1+Окружение!P13)</f>
        <v>16.644677732911674</v>
      </c>
      <c r="S53" s="47">
        <f>S52-S52/(1+Окружение!Q13)</f>
        <v>16.848945120045784</v>
      </c>
      <c r="T53" s="47">
        <f>T52-T52/(1+Окружение!R13)</f>
        <v>17.055719324441014</v>
      </c>
      <c r="U53" s="47">
        <f>U52-U52/(1+Окружение!S13)</f>
        <v>17.265031110346428</v>
      </c>
      <c r="V53" s="47">
        <f>V52-V52/(1+Окружение!T13)</f>
        <v>17.476911619557256</v>
      </c>
      <c r="W53" s="47">
        <f>W52-W52/(1+Окружение!U13)</f>
        <v>17.691392376048071</v>
      </c>
      <c r="X53" s="47">
        <f>X52-X52/(1+Окружение!V13)</f>
        <v>17.908505290663072</v>
      </c>
      <c r="Y53" s="47">
        <f>Y52-Y52/(1+Окружение!W13)</f>
        <v>18.128282665863765</v>
      </c>
    </row>
    <row r="54" spans="1:25" s="35" customFormat="1" x14ac:dyDescent="0.2">
      <c r="B54" s="36" t="s">
        <v>292</v>
      </c>
      <c r="E54" s="80" t="s">
        <v>117</v>
      </c>
      <c r="F54" s="30">
        <v>0</v>
      </c>
      <c r="G54" s="29">
        <f>F54*(1+Окружение!E8)</f>
        <v>0</v>
      </c>
      <c r="H54" s="29">
        <f>G54*(1+Окружение!F8)</f>
        <v>0</v>
      </c>
      <c r="I54" s="29">
        <f>H54*(1+Окружение!G8)</f>
        <v>0</v>
      </c>
      <c r="J54" s="29">
        <f>I54*(1+Окружение!H8)</f>
        <v>0</v>
      </c>
      <c r="K54" s="29">
        <f>J54*(1+Окружение!I8)</f>
        <v>0</v>
      </c>
      <c r="L54" s="29">
        <f>K54*(1+Окружение!J8)</f>
        <v>0</v>
      </c>
      <c r="M54" s="29">
        <f>L54*(1+Окружение!K8)</f>
        <v>0</v>
      </c>
      <c r="N54" s="29">
        <f>M54*(1+Окружение!L8)</f>
        <v>0</v>
      </c>
      <c r="O54" s="29">
        <f>N54*(1+Окружение!M8)</f>
        <v>0</v>
      </c>
      <c r="P54" s="29">
        <f>O54*(1+Окружение!N8)</f>
        <v>0</v>
      </c>
      <c r="Q54" s="29">
        <f>P54*(1+Окружение!O8)</f>
        <v>0</v>
      </c>
      <c r="R54" s="29">
        <f>Q54*(1+Окружение!P8)</f>
        <v>0</v>
      </c>
      <c r="S54" s="29">
        <f>R54*(1+Окружение!Q8)</f>
        <v>0</v>
      </c>
      <c r="T54" s="29">
        <f>S54*(1+Окружение!R8)</f>
        <v>0</v>
      </c>
      <c r="U54" s="29">
        <f>T54*(1+Окружение!S8)</f>
        <v>0</v>
      </c>
      <c r="V54" s="29">
        <f>U54*(1+Окружение!T8)</f>
        <v>0</v>
      </c>
      <c r="W54" s="29">
        <f>V54*(1+Окружение!U8)</f>
        <v>0</v>
      </c>
      <c r="X54" s="29">
        <f>W54*(1+Окружение!V8)</f>
        <v>0</v>
      </c>
      <c r="Y54" s="29">
        <f>X54*(1+Окружение!W8)</f>
        <v>0</v>
      </c>
    </row>
    <row r="55" spans="1:25" s="35" customFormat="1" x14ac:dyDescent="0.2">
      <c r="B55" s="44" t="s">
        <v>139</v>
      </c>
      <c r="E55" s="80" t="s">
        <v>117</v>
      </c>
      <c r="F55" s="47">
        <f>F54-F54/(1+Окружение!D13)</f>
        <v>0</v>
      </c>
      <c r="G55" s="47">
        <f>G54-G54/(1+Окружение!E13)</f>
        <v>0</v>
      </c>
      <c r="H55" s="47">
        <f>H54-H54/(1+Окружение!F13)</f>
        <v>0</v>
      </c>
      <c r="I55" s="47">
        <f>I54-I54/(1+Окружение!G13)</f>
        <v>0</v>
      </c>
      <c r="J55" s="47">
        <f>J54-J54/(1+Окружение!H13)</f>
        <v>0</v>
      </c>
      <c r="K55" s="47">
        <f>K54-K54/(1+Окружение!I13)</f>
        <v>0</v>
      </c>
      <c r="L55" s="47">
        <f>L54-L54/(1+Окружение!J13)</f>
        <v>0</v>
      </c>
      <c r="M55" s="47">
        <f>M54-M54/(1+Окружение!K13)</f>
        <v>0</v>
      </c>
      <c r="N55" s="47">
        <f>N54-N54/(1+Окружение!L13)</f>
        <v>0</v>
      </c>
      <c r="O55" s="47">
        <f>O54-O54/(1+Окружение!M13)</f>
        <v>0</v>
      </c>
      <c r="P55" s="47">
        <f>P54-P54/(1+Окружение!N13)</f>
        <v>0</v>
      </c>
      <c r="Q55" s="47">
        <f>Q54-Q54/(1+Окружение!O13)</f>
        <v>0</v>
      </c>
      <c r="R55" s="47">
        <f>R54-R54/(1+Окружение!P13)</f>
        <v>0</v>
      </c>
      <c r="S55" s="47">
        <f>S54-S54/(1+Окружение!Q13)</f>
        <v>0</v>
      </c>
      <c r="T55" s="47">
        <f>T54-T54/(1+Окружение!R13)</f>
        <v>0</v>
      </c>
      <c r="U55" s="47">
        <f>U54-U54/(1+Окружение!S13)</f>
        <v>0</v>
      </c>
      <c r="V55" s="47">
        <f>V54-V54/(1+Окружение!T13)</f>
        <v>0</v>
      </c>
      <c r="W55" s="47">
        <f>W54-W54/(1+Окружение!U13)</f>
        <v>0</v>
      </c>
      <c r="X55" s="47">
        <f>X54-X54/(1+Окружение!V13)</f>
        <v>0</v>
      </c>
      <c r="Y55" s="47">
        <f>Y54-Y54/(1+Окружение!W13)</f>
        <v>0</v>
      </c>
    </row>
    <row r="56" spans="1:25" s="35" customFormat="1" x14ac:dyDescent="0.2">
      <c r="B56" s="36" t="s">
        <v>293</v>
      </c>
      <c r="E56" s="80" t="s">
        <v>117</v>
      </c>
      <c r="F56" s="30">
        <v>0</v>
      </c>
      <c r="G56" s="29">
        <f>F56*(1+Окружение!E8)</f>
        <v>0</v>
      </c>
      <c r="H56" s="29">
        <f>G56*(1+Окружение!F8)</f>
        <v>0</v>
      </c>
      <c r="I56" s="29">
        <f>H56*(1+Окружение!G8)</f>
        <v>0</v>
      </c>
      <c r="J56" s="29">
        <f>I56*(1+Окружение!H8)</f>
        <v>0</v>
      </c>
      <c r="K56" s="29">
        <f>J56*(1+Окружение!I8)</f>
        <v>0</v>
      </c>
      <c r="L56" s="29">
        <f>K56*(1+Окружение!J8)</f>
        <v>0</v>
      </c>
      <c r="M56" s="29">
        <f>L56*(1+Окружение!K8)</f>
        <v>0</v>
      </c>
      <c r="N56" s="29">
        <f>M56*(1+Окружение!L8)</f>
        <v>0</v>
      </c>
      <c r="O56" s="29">
        <f>N56*(1+Окружение!M8)</f>
        <v>0</v>
      </c>
      <c r="P56" s="29">
        <f>O56*(1+Окружение!N8)</f>
        <v>0</v>
      </c>
      <c r="Q56" s="29">
        <f>P56*(1+Окружение!O8)</f>
        <v>0</v>
      </c>
      <c r="R56" s="29">
        <f>Q56*(1+Окружение!P8)</f>
        <v>0</v>
      </c>
      <c r="S56" s="29">
        <f>R56*(1+Окружение!Q8)</f>
        <v>0</v>
      </c>
      <c r="T56" s="29">
        <f>S56*(1+Окружение!R8)</f>
        <v>0</v>
      </c>
      <c r="U56" s="29">
        <f>T56*(1+Окружение!S8)</f>
        <v>0</v>
      </c>
      <c r="V56" s="29">
        <f>U56*(1+Окружение!T8)</f>
        <v>0</v>
      </c>
      <c r="W56" s="29">
        <f>V56*(1+Окружение!U8)</f>
        <v>0</v>
      </c>
      <c r="X56" s="29">
        <f>W56*(1+Окружение!V8)</f>
        <v>0</v>
      </c>
      <c r="Y56" s="29">
        <f>X56*(1+Окружение!W8)</f>
        <v>0</v>
      </c>
    </row>
    <row r="57" spans="1:25" s="35" customFormat="1" x14ac:dyDescent="0.2">
      <c r="B57" s="44" t="s">
        <v>139</v>
      </c>
      <c r="E57" s="80" t="s">
        <v>117</v>
      </c>
      <c r="F57" s="47">
        <f>F56-F56/(1+Окружение!D13)</f>
        <v>0</v>
      </c>
      <c r="G57" s="47">
        <f>G56-G56/(1+Окружение!E13)</f>
        <v>0</v>
      </c>
      <c r="H57" s="47">
        <f>H56-H56/(1+Окружение!F13)</f>
        <v>0</v>
      </c>
      <c r="I57" s="47">
        <f>I56-I56/(1+Окружение!G13)</f>
        <v>0</v>
      </c>
      <c r="J57" s="47">
        <f>J56-J56/(1+Окружение!H13)</f>
        <v>0</v>
      </c>
      <c r="K57" s="47">
        <f>K56-K56/(1+Окружение!I13)</f>
        <v>0</v>
      </c>
      <c r="L57" s="47">
        <f>L56-L56/(1+Окружение!J13)</f>
        <v>0</v>
      </c>
      <c r="M57" s="47">
        <f>M56-M56/(1+Окружение!K13)</f>
        <v>0</v>
      </c>
      <c r="N57" s="47">
        <f>N56-N56/(1+Окружение!L13)</f>
        <v>0</v>
      </c>
      <c r="O57" s="47">
        <f>O56-O56/(1+Окружение!M13)</f>
        <v>0</v>
      </c>
      <c r="P57" s="47">
        <f>P56-P56/(1+Окружение!N13)</f>
        <v>0</v>
      </c>
      <c r="Q57" s="47">
        <f>Q56-Q56/(1+Окружение!O13)</f>
        <v>0</v>
      </c>
      <c r="R57" s="47">
        <f>R56-R56/(1+Окружение!P13)</f>
        <v>0</v>
      </c>
      <c r="S57" s="47">
        <f>S56-S56/(1+Окружение!Q13)</f>
        <v>0</v>
      </c>
      <c r="T57" s="47">
        <f>T56-T56/(1+Окружение!R13)</f>
        <v>0</v>
      </c>
      <c r="U57" s="47">
        <f>U56-U56/(1+Окружение!S13)</f>
        <v>0</v>
      </c>
      <c r="V57" s="47">
        <f>V56-V56/(1+Окружение!T13)</f>
        <v>0</v>
      </c>
      <c r="W57" s="47">
        <f>W56-W56/(1+Окружение!U13)</f>
        <v>0</v>
      </c>
      <c r="X57" s="47">
        <f>X56-X56/(1+Окружение!V13)</f>
        <v>0</v>
      </c>
      <c r="Y57" s="47">
        <f>Y56-Y56/(1+Окружение!W13)</f>
        <v>0</v>
      </c>
    </row>
    <row r="58" spans="1:25" s="35" customFormat="1" x14ac:dyDescent="0.2">
      <c r="B58" s="39" t="s">
        <v>291</v>
      </c>
      <c r="E58" s="80" t="s">
        <v>117</v>
      </c>
      <c r="F58" s="17">
        <f>F50+F52+F54+F56</f>
        <v>170</v>
      </c>
      <c r="G58" s="17">
        <f t="shared" ref="G58:Y58" si="8">G50+G52+G54+G56</f>
        <v>173.1015821867569</v>
      </c>
      <c r="H58" s="17">
        <f t="shared" si="8"/>
        <v>176.2597515032856</v>
      </c>
      <c r="I58" s="17">
        <f t="shared" si="8"/>
        <v>179.47554035919612</v>
      </c>
      <c r="J58" s="17">
        <f t="shared" si="8"/>
        <v>202.09711187967457</v>
      </c>
      <c r="K58" s="17">
        <f t="shared" si="8"/>
        <v>205.90383090228525</v>
      </c>
      <c r="L58" s="17">
        <f t="shared" si="8"/>
        <v>209.78225362012608</v>
      </c>
      <c r="M58" s="17">
        <f t="shared" si="8"/>
        <v>213.73373065032399</v>
      </c>
      <c r="N58" s="17">
        <f t="shared" si="8"/>
        <v>216.87002653494051</v>
      </c>
      <c r="O58" s="17">
        <f t="shared" si="8"/>
        <v>220.0523439429073</v>
      </c>
      <c r="P58" s="17">
        <f t="shared" si="8"/>
        <v>223.28135818697845</v>
      </c>
      <c r="Q58" s="17">
        <f t="shared" si="8"/>
        <v>226.55775448934347</v>
      </c>
      <c r="R58" s="17">
        <f t="shared" si="8"/>
        <v>229.33812436415343</v>
      </c>
      <c r="S58" s="17">
        <f t="shared" si="8"/>
        <v>232.15261558986651</v>
      </c>
      <c r="T58" s="17">
        <f t="shared" si="8"/>
        <v>235.00164691170002</v>
      </c>
      <c r="U58" s="17">
        <f t="shared" si="8"/>
        <v>237.88564221381074</v>
      </c>
      <c r="V58" s="17">
        <f t="shared" si="8"/>
        <v>240.80503058236121</v>
      </c>
      <c r="W58" s="17">
        <f t="shared" si="8"/>
        <v>243.76024636935995</v>
      </c>
      <c r="X58" s="17">
        <f t="shared" si="8"/>
        <v>246.75172925728509</v>
      </c>
      <c r="Y58" s="17">
        <f t="shared" si="8"/>
        <v>249.77992432450134</v>
      </c>
    </row>
    <row r="59" spans="1:25" s="35" customFormat="1" x14ac:dyDescent="0.2">
      <c r="B59" s="44" t="s">
        <v>139</v>
      </c>
      <c r="E59" s="80" t="s">
        <v>117</v>
      </c>
      <c r="F59" s="47">
        <f>F51+F53+F55+F57</f>
        <v>15.454545454545475</v>
      </c>
      <c r="G59" s="47">
        <f t="shared" ref="G59:Y59" si="9">G51+G53+G55+G57</f>
        <v>15.736507471523375</v>
      </c>
      <c r="H59" s="47">
        <f t="shared" si="9"/>
        <v>16.023613773025964</v>
      </c>
      <c r="I59" s="47">
        <f t="shared" si="9"/>
        <v>16.315958214472385</v>
      </c>
      <c r="J59" s="47">
        <f t="shared" si="9"/>
        <v>18.372464716334072</v>
      </c>
      <c r="K59" s="47">
        <f t="shared" si="9"/>
        <v>18.718530082025964</v>
      </c>
      <c r="L59" s="47">
        <f t="shared" si="9"/>
        <v>19.071113965466033</v>
      </c>
      <c r="M59" s="47">
        <f t="shared" si="9"/>
        <v>19.430339150029468</v>
      </c>
      <c r="N59" s="47">
        <f t="shared" si="9"/>
        <v>19.715456957721891</v>
      </c>
      <c r="O59" s="47">
        <f t="shared" si="9"/>
        <v>20.004758540264305</v>
      </c>
      <c r="P59" s="47">
        <f t="shared" si="9"/>
        <v>20.298305289725334</v>
      </c>
      <c r="Q59" s="47">
        <f t="shared" si="9"/>
        <v>20.596159499031238</v>
      </c>
      <c r="R59" s="47">
        <f t="shared" si="9"/>
        <v>20.848920396741235</v>
      </c>
      <c r="S59" s="47">
        <f t="shared" si="9"/>
        <v>21.104783235442426</v>
      </c>
      <c r="T59" s="47">
        <f t="shared" si="9"/>
        <v>21.363786082881845</v>
      </c>
      <c r="U59" s="47">
        <f t="shared" si="9"/>
        <v>21.625967473982797</v>
      </c>
      <c r="V59" s="47">
        <f t="shared" si="9"/>
        <v>21.891366416578293</v>
      </c>
      <c r="W59" s="47">
        <f t="shared" si="9"/>
        <v>22.160022397214547</v>
      </c>
      <c r="X59" s="47">
        <f t="shared" si="9"/>
        <v>22.43197538702595</v>
      </c>
      <c r="Y59" s="47">
        <f t="shared" si="9"/>
        <v>22.707265847681953</v>
      </c>
    </row>
    <row r="60" spans="1:25" s="35" customFormat="1" x14ac:dyDescent="0.2">
      <c r="B60" s="39"/>
      <c r="E60" s="80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</row>
    <row r="61" spans="1:25" s="35" customFormat="1" x14ac:dyDescent="0.2">
      <c r="A61" s="33"/>
      <c r="B61" s="39"/>
      <c r="E61" s="80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</row>
    <row r="62" spans="1:25" s="35" customFormat="1" x14ac:dyDescent="0.2">
      <c r="A62" s="25" t="s">
        <v>294</v>
      </c>
      <c r="E62" s="80"/>
    </row>
    <row r="63" spans="1:25" s="35" customFormat="1" x14ac:dyDescent="0.2">
      <c r="B63" s="36" t="s">
        <v>163</v>
      </c>
      <c r="E63" s="80" t="s">
        <v>117</v>
      </c>
      <c r="F63" s="30">
        <v>0</v>
      </c>
      <c r="G63" s="29">
        <f>F63*(1+Окружение!E8)</f>
        <v>0</v>
      </c>
      <c r="H63" s="29">
        <f>G63*(1+Окружение!F8)</f>
        <v>0</v>
      </c>
      <c r="I63" s="29">
        <f>H63*(1+Окружение!G8)</f>
        <v>0</v>
      </c>
      <c r="J63" s="29">
        <f>I63*(1+Окружение!H8)</f>
        <v>0</v>
      </c>
      <c r="K63" s="29">
        <f>J63*(1+Окружение!I8)</f>
        <v>0</v>
      </c>
      <c r="L63" s="29">
        <f>K63*(1+Окружение!J8)</f>
        <v>0</v>
      </c>
      <c r="M63" s="29">
        <f>L63*(1+Окружение!K8)</f>
        <v>0</v>
      </c>
      <c r="N63" s="29">
        <f>M63*(1+Окружение!L8)</f>
        <v>0</v>
      </c>
      <c r="O63" s="29">
        <f>N63*(1+Окружение!M8)</f>
        <v>0</v>
      </c>
      <c r="P63" s="29">
        <f>O63*(1+Окружение!N8)</f>
        <v>0</v>
      </c>
      <c r="Q63" s="29">
        <f>P63*(1+Окружение!O8)</f>
        <v>0</v>
      </c>
      <c r="R63" s="29">
        <f>Q63*(1+Окружение!P8)</f>
        <v>0</v>
      </c>
      <c r="S63" s="29">
        <f>R63*(1+Окружение!Q8)</f>
        <v>0</v>
      </c>
      <c r="T63" s="29">
        <f>S63*(1+Окружение!R8)</f>
        <v>0</v>
      </c>
      <c r="U63" s="29">
        <f>T63*(1+Окружение!S8)</f>
        <v>0</v>
      </c>
      <c r="V63" s="29">
        <f>U63*(1+Окружение!T8)</f>
        <v>0</v>
      </c>
      <c r="W63" s="29">
        <f>V63*(1+Окружение!U8)</f>
        <v>0</v>
      </c>
      <c r="X63" s="29">
        <f>W63*(1+Окружение!V8)</f>
        <v>0</v>
      </c>
      <c r="Y63" s="29">
        <f>X63*(1+Окружение!W8)</f>
        <v>0</v>
      </c>
    </row>
    <row r="64" spans="1:25" s="35" customFormat="1" x14ac:dyDescent="0.2">
      <c r="B64" s="44" t="s">
        <v>139</v>
      </c>
      <c r="E64" s="80" t="s">
        <v>117</v>
      </c>
      <c r="F64" s="47">
        <f>F63-F63/(1+Окружение!D13)</f>
        <v>0</v>
      </c>
      <c r="G64" s="47">
        <f>G63-G63/(1+Окружение!E13)</f>
        <v>0</v>
      </c>
      <c r="H64" s="47">
        <f>H63-H63/(1+Окружение!F13)</f>
        <v>0</v>
      </c>
      <c r="I64" s="47">
        <f>I63-I63/(1+Окружение!G13)</f>
        <v>0</v>
      </c>
      <c r="J64" s="47">
        <f>J63-J63/(1+Окружение!H13)</f>
        <v>0</v>
      </c>
      <c r="K64" s="47">
        <f>K63-K63/(1+Окружение!I13)</f>
        <v>0</v>
      </c>
      <c r="L64" s="47">
        <f>L63-L63/(1+Окружение!J13)</f>
        <v>0</v>
      </c>
      <c r="M64" s="47">
        <f>M63-M63/(1+Окружение!K13)</f>
        <v>0</v>
      </c>
      <c r="N64" s="47">
        <f>N63-N63/(1+Окружение!L13)</f>
        <v>0</v>
      </c>
      <c r="O64" s="47">
        <f>O63-O63/(1+Окружение!M13)</f>
        <v>0</v>
      </c>
      <c r="P64" s="47">
        <f>P63-P63/(1+Окружение!N13)</f>
        <v>0</v>
      </c>
      <c r="Q64" s="47">
        <f>Q63-Q63/(1+Окружение!O13)</f>
        <v>0</v>
      </c>
      <c r="R64" s="47">
        <f>R63-R63/(1+Окружение!P13)</f>
        <v>0</v>
      </c>
      <c r="S64" s="47">
        <f>S63-S63/(1+Окружение!Q13)</f>
        <v>0</v>
      </c>
      <c r="T64" s="47">
        <f>T63-T63/(1+Окружение!R13)</f>
        <v>0</v>
      </c>
      <c r="U64" s="47">
        <f>U63-U63/(1+Окружение!S13)</f>
        <v>0</v>
      </c>
      <c r="V64" s="47">
        <f>V63-V63/(1+Окружение!T13)</f>
        <v>0</v>
      </c>
      <c r="W64" s="47">
        <f>W63-W63/(1+Окружение!U13)</f>
        <v>0</v>
      </c>
      <c r="X64" s="47">
        <f>X63-X63/(1+Окружение!V13)</f>
        <v>0</v>
      </c>
      <c r="Y64" s="47">
        <f>Y63-Y63/(1+Окружение!W13)</f>
        <v>0</v>
      </c>
    </row>
    <row r="65" spans="1:39" s="35" customFormat="1" x14ac:dyDescent="0.2">
      <c r="B65" s="36" t="s">
        <v>164</v>
      </c>
      <c r="E65" s="80" t="s">
        <v>117</v>
      </c>
      <c r="F65" s="30">
        <v>0</v>
      </c>
      <c r="G65" s="29">
        <f>F65*(1+Окружение!E8)</f>
        <v>0</v>
      </c>
      <c r="H65" s="29">
        <f>G65*(1+Окружение!F8)</f>
        <v>0</v>
      </c>
      <c r="I65" s="29">
        <f>H65*(1+Окружение!G8)</f>
        <v>0</v>
      </c>
      <c r="J65" s="29">
        <f>I65*(1+Окружение!H8)</f>
        <v>0</v>
      </c>
      <c r="K65" s="29">
        <f>J65*(1+Окружение!I8)</f>
        <v>0</v>
      </c>
      <c r="L65" s="29">
        <f>K65*(1+Окружение!J8)</f>
        <v>0</v>
      </c>
      <c r="M65" s="29">
        <f>L65*(1+Окружение!K8)</f>
        <v>0</v>
      </c>
      <c r="N65" s="29">
        <f>M65*(1+Окружение!L8)</f>
        <v>0</v>
      </c>
      <c r="O65" s="29">
        <f>N65*(1+Окружение!M8)</f>
        <v>0</v>
      </c>
      <c r="P65" s="29">
        <f>O65*(1+Окружение!N8)</f>
        <v>0</v>
      </c>
      <c r="Q65" s="29">
        <f>P65*(1+Окружение!O8)</f>
        <v>0</v>
      </c>
      <c r="R65" s="29">
        <f>Q65*(1+Окружение!P8)</f>
        <v>0</v>
      </c>
      <c r="S65" s="29">
        <f>R65*(1+Окружение!Q8)</f>
        <v>0</v>
      </c>
      <c r="T65" s="29">
        <f>S65*(1+Окружение!R8)</f>
        <v>0</v>
      </c>
      <c r="U65" s="29">
        <f>T65*(1+Окружение!S8)</f>
        <v>0</v>
      </c>
      <c r="V65" s="29">
        <f>U65*(1+Окружение!T8)</f>
        <v>0</v>
      </c>
      <c r="W65" s="29">
        <f>V65*(1+Окружение!U8)</f>
        <v>0</v>
      </c>
      <c r="X65" s="29">
        <f>W65*(1+Окружение!V8)</f>
        <v>0</v>
      </c>
      <c r="Y65" s="29">
        <f>X65*(1+Окружение!W8)</f>
        <v>0</v>
      </c>
    </row>
    <row r="66" spans="1:39" s="35" customFormat="1" x14ac:dyDescent="0.2">
      <c r="B66" s="44" t="s">
        <v>139</v>
      </c>
      <c r="E66" s="80" t="s">
        <v>117</v>
      </c>
      <c r="F66" s="47">
        <f>F65-F65/(1+Окружение!D13)</f>
        <v>0</v>
      </c>
      <c r="G66" s="47">
        <f>G65-G65/(1+Окружение!E13)</f>
        <v>0</v>
      </c>
      <c r="H66" s="47">
        <f>H65-H65/(1+Окружение!F13)</f>
        <v>0</v>
      </c>
      <c r="I66" s="47">
        <f>I65-I65/(1+Окружение!G13)</f>
        <v>0</v>
      </c>
      <c r="J66" s="47">
        <f>J65-J65/(1+Окружение!H13)</f>
        <v>0</v>
      </c>
      <c r="K66" s="47">
        <f>K65-K65/(1+Окружение!I13)</f>
        <v>0</v>
      </c>
      <c r="L66" s="47">
        <f>L65-L65/(1+Окружение!J13)</f>
        <v>0</v>
      </c>
      <c r="M66" s="47">
        <f>M65-M65/(1+Окружение!K13)</f>
        <v>0</v>
      </c>
      <c r="N66" s="47">
        <f>N65-N65/(1+Окружение!L13)</f>
        <v>0</v>
      </c>
      <c r="O66" s="47">
        <f>O65-O65/(1+Окружение!M13)</f>
        <v>0</v>
      </c>
      <c r="P66" s="47">
        <f>P65-P65/(1+Окружение!N13)</f>
        <v>0</v>
      </c>
      <c r="Q66" s="47">
        <f>Q65-Q65/(1+Окружение!O13)</f>
        <v>0</v>
      </c>
      <c r="R66" s="47">
        <f>R65-R65/(1+Окружение!P13)</f>
        <v>0</v>
      </c>
      <c r="S66" s="47">
        <f>S65-S65/(1+Окружение!Q13)</f>
        <v>0</v>
      </c>
      <c r="T66" s="47">
        <f>T65-T65/(1+Окружение!R13)</f>
        <v>0</v>
      </c>
      <c r="U66" s="47">
        <f>U65-U65/(1+Окружение!S13)</f>
        <v>0</v>
      </c>
      <c r="V66" s="47">
        <f>V65-V65/(1+Окружение!T13)</f>
        <v>0</v>
      </c>
      <c r="W66" s="47">
        <f>W65-W65/(1+Окружение!U13)</f>
        <v>0</v>
      </c>
      <c r="X66" s="47">
        <f>X65-X65/(1+Окружение!V13)</f>
        <v>0</v>
      </c>
      <c r="Y66" s="47">
        <f>Y65-Y65/(1+Окружение!W13)</f>
        <v>0</v>
      </c>
    </row>
    <row r="67" spans="1:39" s="35" customFormat="1" x14ac:dyDescent="0.2">
      <c r="B67" s="39" t="s">
        <v>146</v>
      </c>
      <c r="E67" s="80" t="s">
        <v>117</v>
      </c>
      <c r="F67" s="17">
        <f>F63+F65</f>
        <v>0</v>
      </c>
      <c r="G67" s="17">
        <f t="shared" ref="G67:Y67" si="10">G63+G65</f>
        <v>0</v>
      </c>
      <c r="H67" s="17">
        <f t="shared" si="10"/>
        <v>0</v>
      </c>
      <c r="I67" s="17">
        <f t="shared" si="10"/>
        <v>0</v>
      </c>
      <c r="J67" s="17">
        <f t="shared" si="10"/>
        <v>0</v>
      </c>
      <c r="K67" s="17">
        <f t="shared" si="10"/>
        <v>0</v>
      </c>
      <c r="L67" s="17">
        <f t="shared" si="10"/>
        <v>0</v>
      </c>
      <c r="M67" s="17">
        <f t="shared" si="10"/>
        <v>0</v>
      </c>
      <c r="N67" s="17">
        <f t="shared" si="10"/>
        <v>0</v>
      </c>
      <c r="O67" s="17">
        <f t="shared" si="10"/>
        <v>0</v>
      </c>
      <c r="P67" s="17">
        <f t="shared" si="10"/>
        <v>0</v>
      </c>
      <c r="Q67" s="17">
        <f t="shared" si="10"/>
        <v>0</v>
      </c>
      <c r="R67" s="17">
        <f t="shared" si="10"/>
        <v>0</v>
      </c>
      <c r="S67" s="17">
        <f t="shared" si="10"/>
        <v>0</v>
      </c>
      <c r="T67" s="17">
        <f t="shared" si="10"/>
        <v>0</v>
      </c>
      <c r="U67" s="17">
        <f t="shared" si="10"/>
        <v>0</v>
      </c>
      <c r="V67" s="17">
        <f t="shared" si="10"/>
        <v>0</v>
      </c>
      <c r="W67" s="17">
        <f t="shared" si="10"/>
        <v>0</v>
      </c>
      <c r="X67" s="17">
        <f t="shared" si="10"/>
        <v>0</v>
      </c>
      <c r="Y67" s="17">
        <f t="shared" si="10"/>
        <v>0</v>
      </c>
    </row>
    <row r="68" spans="1:39" s="35" customFormat="1" x14ac:dyDescent="0.2">
      <c r="B68" s="44" t="s">
        <v>139</v>
      </c>
      <c r="E68" s="80" t="s">
        <v>117</v>
      </c>
      <c r="F68" s="29">
        <f>F64+F66</f>
        <v>0</v>
      </c>
      <c r="G68" s="29">
        <f t="shared" ref="G68:Y68" si="11">G64+G66</f>
        <v>0</v>
      </c>
      <c r="H68" s="29">
        <f t="shared" si="11"/>
        <v>0</v>
      </c>
      <c r="I68" s="29">
        <f t="shared" si="11"/>
        <v>0</v>
      </c>
      <c r="J68" s="29">
        <f t="shared" si="11"/>
        <v>0</v>
      </c>
      <c r="K68" s="29">
        <f t="shared" si="11"/>
        <v>0</v>
      </c>
      <c r="L68" s="29">
        <f t="shared" si="11"/>
        <v>0</v>
      </c>
      <c r="M68" s="29">
        <f t="shared" si="11"/>
        <v>0</v>
      </c>
      <c r="N68" s="29">
        <f t="shared" si="11"/>
        <v>0</v>
      </c>
      <c r="O68" s="29">
        <f t="shared" si="11"/>
        <v>0</v>
      </c>
      <c r="P68" s="29">
        <f t="shared" si="11"/>
        <v>0</v>
      </c>
      <c r="Q68" s="29">
        <f t="shared" si="11"/>
        <v>0</v>
      </c>
      <c r="R68" s="29">
        <f t="shared" si="11"/>
        <v>0</v>
      </c>
      <c r="S68" s="29">
        <f t="shared" si="11"/>
        <v>0</v>
      </c>
      <c r="T68" s="29">
        <f t="shared" si="11"/>
        <v>0</v>
      </c>
      <c r="U68" s="29">
        <f t="shared" si="11"/>
        <v>0</v>
      </c>
      <c r="V68" s="29">
        <f t="shared" si="11"/>
        <v>0</v>
      </c>
      <c r="W68" s="29">
        <f t="shared" si="11"/>
        <v>0</v>
      </c>
      <c r="X68" s="29">
        <f t="shared" si="11"/>
        <v>0</v>
      </c>
      <c r="Y68" s="29">
        <f t="shared" si="11"/>
        <v>0</v>
      </c>
    </row>
    <row r="69" spans="1:39" s="35" customFormat="1" x14ac:dyDescent="0.2">
      <c r="B69" s="36"/>
      <c r="E69" s="80"/>
    </row>
    <row r="70" spans="1:39" s="35" customFormat="1" x14ac:dyDescent="0.2">
      <c r="A70" s="33"/>
      <c r="B70" s="39"/>
      <c r="E70" s="80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1:39" s="35" customFormat="1" x14ac:dyDescent="0.2">
      <c r="A71" s="25" t="s">
        <v>165</v>
      </c>
      <c r="E71" s="80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 spans="1:39" s="35" customFormat="1" x14ac:dyDescent="0.2">
      <c r="B72" s="36" t="s">
        <v>49</v>
      </c>
      <c r="E72" s="80" t="s">
        <v>117</v>
      </c>
      <c r="F72" s="30">
        <v>500</v>
      </c>
      <c r="G72" s="29">
        <f>F72*(1+Окружение!E8)</f>
        <v>509.122300549285</v>
      </c>
      <c r="H72" s="29">
        <f>G72*(1+Окружение!F8)</f>
        <v>518.41103383319296</v>
      </c>
      <c r="I72" s="29">
        <f>H72*(1+Окружение!G8)</f>
        <v>527.86923635057678</v>
      </c>
      <c r="J72" s="29">
        <f>I72*(1+Окружение!H8)</f>
        <v>537.81222784005001</v>
      </c>
      <c r="K72" s="29">
        <f>J72*(1+Окружение!I8)</f>
        <v>547.9425063941062</v>
      </c>
      <c r="L72" s="29">
        <v>1200</v>
      </c>
      <c r="M72" s="29">
        <f>L72*(1+Окружение!K8)</f>
        <v>1222.6033058297864</v>
      </c>
      <c r="N72" s="29">
        <f>M72*(1+Окружение!L8)</f>
        <v>1240.543598664827</v>
      </c>
      <c r="O72" s="29">
        <f>N72*(1+Окружение!M8)</f>
        <v>1258.7471445971496</v>
      </c>
      <c r="P72" s="29">
        <f>1500*(1+Окружение!N8)</f>
        <v>1522.0107692529889</v>
      </c>
      <c r="Q72" s="29">
        <f>P72*(1+Окружение!O8)</f>
        <v>1544.34452114805</v>
      </c>
      <c r="R72" s="29">
        <f>Q72*(1+Окружение!P8)</f>
        <v>1563.2970791507814</v>
      </c>
      <c r="S72" s="29">
        <f>R72*(1+Окружение!Q8)</f>
        <v>1582.4822273883524</v>
      </c>
      <c r="T72" s="29">
        <f>S72*(1+Окружение!R8)</f>
        <v>1601.9028202626505</v>
      </c>
      <c r="U72" s="29">
        <f>T72*(1+Окружение!S8)</f>
        <v>1621.561747205453</v>
      </c>
      <c r="V72" s="29">
        <f>U72*(1+Окружение!T8)</f>
        <v>1641.4619331083209</v>
      </c>
      <c r="W72" s="29">
        <f>V72*(1+Окружение!U8)</f>
        <v>1661.6063387577703</v>
      </c>
      <c r="X72" s="29">
        <f>W72*(1+Окружение!V8)</f>
        <v>1681.9979612757834</v>
      </c>
      <c r="Y72" s="29">
        <f>X72*(1+Окружение!W8)</f>
        <v>1702.639834565726</v>
      </c>
    </row>
    <row r="73" spans="1:39" s="35" customFormat="1" x14ac:dyDescent="0.2">
      <c r="B73" s="44" t="s">
        <v>139</v>
      </c>
      <c r="E73" s="80" t="s">
        <v>117</v>
      </c>
      <c r="F73" s="47">
        <f>F72-F72/(1+Окружение!D13)</f>
        <v>45.454545454545496</v>
      </c>
      <c r="G73" s="47">
        <f>G72-G72/(1+Окружение!E13)</f>
        <v>46.283845504480496</v>
      </c>
      <c r="H73" s="47">
        <f>H72-H72/(1+Окружение!F13)</f>
        <v>47.128275803017573</v>
      </c>
      <c r="I73" s="47">
        <f>I72-I72/(1+Окружение!G13)</f>
        <v>47.988112395507017</v>
      </c>
      <c r="J73" s="47">
        <f>J72-J72/(1+Окружение!H13)</f>
        <v>48.892020712731835</v>
      </c>
      <c r="K73" s="47">
        <f>K72-K72/(1+Окружение!I13)</f>
        <v>49.812955126736995</v>
      </c>
      <c r="L73" s="47">
        <f>L72-L72/(1+Окружение!J13)</f>
        <v>109.09090909090924</v>
      </c>
      <c r="M73" s="47">
        <f>M72-M72/(1+Окружение!K13)</f>
        <v>111.14575507543532</v>
      </c>
      <c r="N73" s="47">
        <f>N72-N72/(1+Окружение!L13)</f>
        <v>112.77669078771169</v>
      </c>
      <c r="O73" s="47">
        <f>O72-O72/(1+Окружение!M13)</f>
        <v>114.43155859974104</v>
      </c>
      <c r="P73" s="47">
        <f>P72-P72/(1+Окружение!N13)</f>
        <v>138.36461538663548</v>
      </c>
      <c r="Q73" s="47">
        <f>Q72-Q72/(1+Окружение!O13)</f>
        <v>140.39495646800469</v>
      </c>
      <c r="R73" s="47">
        <f>R72-R72/(1+Окружение!P13)</f>
        <v>142.11791628643482</v>
      </c>
      <c r="S73" s="47">
        <f>S72-S72/(1+Окружение!Q13)</f>
        <v>143.86202067166846</v>
      </c>
      <c r="T73" s="47">
        <f>T72-T72/(1+Окружение!R13)</f>
        <v>145.62752911478651</v>
      </c>
      <c r="U73" s="47">
        <f>U72-U72/(1+Окружение!S13)</f>
        <v>147.41470429140486</v>
      </c>
      <c r="V73" s="47">
        <f>V72-V72/(1+Окружение!T13)</f>
        <v>149.2238121007565</v>
      </c>
      <c r="W73" s="47">
        <f>W72-W72/(1+Окружение!U13)</f>
        <v>151.05512170525208</v>
      </c>
      <c r="X73" s="47">
        <f>X72-X72/(1+Окружение!V13)</f>
        <v>152.9089055705258</v>
      </c>
      <c r="Y73" s="47">
        <f>Y72-Y72/(1+Окружение!W13)</f>
        <v>154.78543950597532</v>
      </c>
    </row>
    <row r="74" spans="1:39" s="35" customFormat="1" x14ac:dyDescent="0.2">
      <c r="B74" s="36" t="s">
        <v>166</v>
      </c>
      <c r="E74" s="80" t="s">
        <v>117</v>
      </c>
      <c r="F74" s="30">
        <v>0</v>
      </c>
      <c r="G74" s="29">
        <f>F74*(1+Окружение!E8)</f>
        <v>0</v>
      </c>
      <c r="H74" s="29">
        <f>G74*(1+Окружение!F8)</f>
        <v>0</v>
      </c>
      <c r="I74" s="29">
        <f>H74*(1+Окружение!G8)</f>
        <v>0</v>
      </c>
      <c r="J74" s="29">
        <f>I74*(1+Окружение!H8)</f>
        <v>0</v>
      </c>
      <c r="K74" s="29">
        <f>J74*(1+Окружение!I8)</f>
        <v>0</v>
      </c>
      <c r="L74" s="29">
        <f>K74*(1+Окружение!J8)</f>
        <v>0</v>
      </c>
      <c r="M74" s="29">
        <f>L74*(1+Окружение!K8)</f>
        <v>0</v>
      </c>
      <c r="N74" s="29">
        <f>M74*(1+Окружение!L8)</f>
        <v>0</v>
      </c>
      <c r="O74" s="29">
        <f>N74*(1+Окружение!M8)</f>
        <v>0</v>
      </c>
      <c r="P74" s="29">
        <f>O74*(1+Окружение!N8)</f>
        <v>0</v>
      </c>
      <c r="Q74" s="29">
        <f>P74*(1+Окружение!O8)</f>
        <v>0</v>
      </c>
      <c r="R74" s="29">
        <f>Q74*(1+Окружение!P8)</f>
        <v>0</v>
      </c>
      <c r="S74" s="29">
        <f>R74*(1+Окружение!Q8)</f>
        <v>0</v>
      </c>
      <c r="T74" s="29">
        <f>S74*(1+Окружение!R8)</f>
        <v>0</v>
      </c>
      <c r="U74" s="29">
        <f>T74*(1+Окружение!S8)</f>
        <v>0</v>
      </c>
      <c r="V74" s="29">
        <f>U74*(1+Окружение!T8)</f>
        <v>0</v>
      </c>
      <c r="W74" s="29">
        <f>V74*(1+Окружение!U8)</f>
        <v>0</v>
      </c>
      <c r="X74" s="29">
        <f>W74*(1+Окружение!V8)</f>
        <v>0</v>
      </c>
      <c r="Y74" s="29">
        <f>X74*(1+Окружение!W8)</f>
        <v>0</v>
      </c>
    </row>
    <row r="75" spans="1:39" s="35" customFormat="1" x14ac:dyDescent="0.2">
      <c r="B75" s="44" t="s">
        <v>139</v>
      </c>
      <c r="E75" s="80" t="s">
        <v>117</v>
      </c>
      <c r="F75" s="47">
        <f>F74-F74/(1+Окружение!D13)</f>
        <v>0</v>
      </c>
      <c r="G75" s="47">
        <f>G74-G74/(1+Окружение!E13)</f>
        <v>0</v>
      </c>
      <c r="H75" s="47">
        <f>H74-H74/(1+Окружение!F13)</f>
        <v>0</v>
      </c>
      <c r="I75" s="47">
        <f>I74-I74/(1+Окружение!G13)</f>
        <v>0</v>
      </c>
      <c r="J75" s="47">
        <f>J74-J74/(1+Окружение!H13)</f>
        <v>0</v>
      </c>
      <c r="K75" s="47">
        <f>K74-K74/(1+Окружение!I13)</f>
        <v>0</v>
      </c>
      <c r="L75" s="47">
        <f>L74-L74/(1+Окружение!J13)</f>
        <v>0</v>
      </c>
      <c r="M75" s="47">
        <f>M74-M74/(1+Окружение!K13)</f>
        <v>0</v>
      </c>
      <c r="N75" s="47">
        <f>N74-N74/(1+Окружение!L13)</f>
        <v>0</v>
      </c>
      <c r="O75" s="47">
        <f>O74-O74/(1+Окружение!M13)</f>
        <v>0</v>
      </c>
      <c r="P75" s="47">
        <f>P74-P74/(1+Окружение!N13)</f>
        <v>0</v>
      </c>
      <c r="Q75" s="47">
        <f>Q74-Q74/(1+Окружение!O13)</f>
        <v>0</v>
      </c>
      <c r="R75" s="47">
        <f>R74-R74/(1+Окружение!P13)</f>
        <v>0</v>
      </c>
      <c r="S75" s="47">
        <f>S74-S74/(1+Окружение!Q13)</f>
        <v>0</v>
      </c>
      <c r="T75" s="47">
        <f>T74-T74/(1+Окружение!R13)</f>
        <v>0</v>
      </c>
      <c r="U75" s="47">
        <f>U74-U74/(1+Окружение!S13)</f>
        <v>0</v>
      </c>
      <c r="V75" s="47">
        <f>V74-V74/(1+Окружение!T13)</f>
        <v>0</v>
      </c>
      <c r="W75" s="47">
        <f>W74-W74/(1+Окружение!U13)</f>
        <v>0</v>
      </c>
      <c r="X75" s="47">
        <f>X74-X74/(1+Окружение!V13)</f>
        <v>0</v>
      </c>
      <c r="Y75" s="47">
        <f>Y74-Y74/(1+Окружение!W13)</f>
        <v>0</v>
      </c>
    </row>
    <row r="76" spans="1:39" s="35" customFormat="1" x14ac:dyDescent="0.2">
      <c r="B76" s="36" t="s">
        <v>167</v>
      </c>
      <c r="E76" s="80" t="s">
        <v>117</v>
      </c>
      <c r="F76" s="30">
        <v>0</v>
      </c>
      <c r="G76" s="29">
        <f>F76*(1+Окружение!E8)</f>
        <v>0</v>
      </c>
      <c r="H76" s="29">
        <f>G76*(1+Окружение!F8)</f>
        <v>0</v>
      </c>
      <c r="I76" s="29">
        <f>H76*(1+Окружение!G8)</f>
        <v>0</v>
      </c>
      <c r="J76" s="29">
        <f>I76*(1+Окружение!H8)</f>
        <v>0</v>
      </c>
      <c r="K76" s="29">
        <f>J76*(1+Окружение!I8)</f>
        <v>0</v>
      </c>
      <c r="L76" s="29">
        <f>K76*(1+Окружение!J8)</f>
        <v>0</v>
      </c>
      <c r="M76" s="29">
        <f>L76*(1+Окружение!K8)</f>
        <v>0</v>
      </c>
      <c r="N76" s="29">
        <f>M76*(1+Окружение!L8)</f>
        <v>0</v>
      </c>
      <c r="O76" s="29">
        <f>N76*(1+Окружение!M8)</f>
        <v>0</v>
      </c>
      <c r="P76" s="29">
        <f>O76*(1+Окружение!N8)</f>
        <v>0</v>
      </c>
      <c r="Q76" s="29">
        <f>P76*(1+Окружение!O8)</f>
        <v>0</v>
      </c>
      <c r="R76" s="29">
        <f>Q76*(1+Окружение!P8)</f>
        <v>0</v>
      </c>
      <c r="S76" s="29">
        <f>R76*(1+Окружение!Q8)</f>
        <v>0</v>
      </c>
      <c r="T76" s="29">
        <f>S76*(1+Окружение!R8)</f>
        <v>0</v>
      </c>
      <c r="U76" s="29">
        <f>T76*(1+Окружение!S8)</f>
        <v>0</v>
      </c>
      <c r="V76" s="29">
        <f>U76*(1+Окружение!T8)</f>
        <v>0</v>
      </c>
      <c r="W76" s="29">
        <f>V76*(1+Окружение!U8)</f>
        <v>0</v>
      </c>
      <c r="X76" s="29">
        <f>W76*(1+Окружение!V8)</f>
        <v>0</v>
      </c>
      <c r="Y76" s="29">
        <f>X76*(1+Окружение!W8)</f>
        <v>0</v>
      </c>
    </row>
    <row r="77" spans="1:39" s="35" customFormat="1" x14ac:dyDescent="0.2">
      <c r="B77" s="44" t="s">
        <v>139</v>
      </c>
      <c r="E77" s="80" t="s">
        <v>117</v>
      </c>
      <c r="F77" s="47">
        <f>F76-F76/(1+Окружение!D13)</f>
        <v>0</v>
      </c>
      <c r="G77" s="47">
        <f>G76-G76/(1+Окружение!E13)</f>
        <v>0</v>
      </c>
      <c r="H77" s="47">
        <f>H76-H76/(1+Окружение!F13)</f>
        <v>0</v>
      </c>
      <c r="I77" s="47">
        <f>I76-I76/(1+Окружение!G13)</f>
        <v>0</v>
      </c>
      <c r="J77" s="47">
        <f>J76-J76/(1+Окружение!H13)</f>
        <v>0</v>
      </c>
      <c r="K77" s="47">
        <f>K76-K76/(1+Окружение!I13)</f>
        <v>0</v>
      </c>
      <c r="L77" s="47">
        <f>L76-L76/(1+Окружение!J13)</f>
        <v>0</v>
      </c>
      <c r="M77" s="47">
        <f>M76-M76/(1+Окружение!K13)</f>
        <v>0</v>
      </c>
      <c r="N77" s="47">
        <f>N76-N76/(1+Окружение!L13)</f>
        <v>0</v>
      </c>
      <c r="O77" s="47">
        <f>O76-O76/(1+Окружение!M13)</f>
        <v>0</v>
      </c>
      <c r="P77" s="47">
        <f>P76-P76/(1+Окружение!N13)</f>
        <v>0</v>
      </c>
      <c r="Q77" s="47">
        <f>Q76-Q76/(1+Окружение!O13)</f>
        <v>0</v>
      </c>
      <c r="R77" s="47">
        <f>R76-R76/(1+Окружение!P13)</f>
        <v>0</v>
      </c>
      <c r="S77" s="47">
        <f>S76-S76/(1+Окружение!Q13)</f>
        <v>0</v>
      </c>
      <c r="T77" s="47">
        <f>T76-T76/(1+Окружение!R13)</f>
        <v>0</v>
      </c>
      <c r="U77" s="47">
        <f>U76-U76/(1+Окружение!S13)</f>
        <v>0</v>
      </c>
      <c r="V77" s="47">
        <f>V76-V76/(1+Окружение!T13)</f>
        <v>0</v>
      </c>
      <c r="W77" s="47">
        <f>W76-W76/(1+Окружение!U13)</f>
        <v>0</v>
      </c>
      <c r="X77" s="47">
        <f>X76-X76/(1+Окружение!V13)</f>
        <v>0</v>
      </c>
      <c r="Y77" s="47">
        <f>Y76-Y76/(1+Окружение!W13)</f>
        <v>0</v>
      </c>
    </row>
    <row r="78" spans="1:39" s="35" customFormat="1" x14ac:dyDescent="0.2">
      <c r="A78" s="40"/>
      <c r="B78" s="39" t="s">
        <v>147</v>
      </c>
      <c r="E78" s="80" t="s">
        <v>117</v>
      </c>
      <c r="F78" s="17">
        <f>F72+F74+F76</f>
        <v>500</v>
      </c>
      <c r="G78" s="17">
        <f t="shared" ref="G78:Y78" si="12">G72+G74+G76</f>
        <v>509.122300549285</v>
      </c>
      <c r="H78" s="17">
        <f t="shared" si="12"/>
        <v>518.41103383319296</v>
      </c>
      <c r="I78" s="17">
        <f t="shared" si="12"/>
        <v>527.86923635057678</v>
      </c>
      <c r="J78" s="17">
        <f t="shared" si="12"/>
        <v>537.81222784005001</v>
      </c>
      <c r="K78" s="17">
        <f t="shared" si="12"/>
        <v>547.9425063941062</v>
      </c>
      <c r="L78" s="17">
        <f t="shared" si="12"/>
        <v>1200</v>
      </c>
      <c r="M78" s="17">
        <f t="shared" si="12"/>
        <v>1222.6033058297864</v>
      </c>
      <c r="N78" s="17">
        <f t="shared" si="12"/>
        <v>1240.543598664827</v>
      </c>
      <c r="O78" s="17">
        <f t="shared" si="12"/>
        <v>1258.7471445971496</v>
      </c>
      <c r="P78" s="17">
        <f t="shared" si="12"/>
        <v>1522.0107692529889</v>
      </c>
      <c r="Q78" s="17">
        <f t="shared" si="12"/>
        <v>1544.34452114805</v>
      </c>
      <c r="R78" s="17">
        <f t="shared" si="12"/>
        <v>1563.2970791507814</v>
      </c>
      <c r="S78" s="17">
        <f t="shared" si="12"/>
        <v>1582.4822273883524</v>
      </c>
      <c r="T78" s="17">
        <f t="shared" si="12"/>
        <v>1601.9028202626505</v>
      </c>
      <c r="U78" s="17">
        <f t="shared" si="12"/>
        <v>1621.561747205453</v>
      </c>
      <c r="V78" s="17">
        <f t="shared" si="12"/>
        <v>1641.4619331083209</v>
      </c>
      <c r="W78" s="17">
        <f t="shared" si="12"/>
        <v>1661.6063387577703</v>
      </c>
      <c r="X78" s="17">
        <f t="shared" si="12"/>
        <v>1681.9979612757834</v>
      </c>
      <c r="Y78" s="17">
        <f t="shared" si="12"/>
        <v>1702.639834565726</v>
      </c>
    </row>
    <row r="79" spans="1:39" s="35" customFormat="1" x14ac:dyDescent="0.2">
      <c r="B79" s="44" t="s">
        <v>139</v>
      </c>
      <c r="E79" s="80" t="s">
        <v>117</v>
      </c>
      <c r="F79" s="47">
        <f>F73+F75+F77</f>
        <v>45.454545454545496</v>
      </c>
      <c r="G79" s="47">
        <f t="shared" ref="G79:Y79" si="13">G73+G75+G77</f>
        <v>46.283845504480496</v>
      </c>
      <c r="H79" s="47">
        <f t="shared" si="13"/>
        <v>47.128275803017573</v>
      </c>
      <c r="I79" s="47">
        <f t="shared" si="13"/>
        <v>47.988112395507017</v>
      </c>
      <c r="J79" s="47">
        <f t="shared" si="13"/>
        <v>48.892020712731835</v>
      </c>
      <c r="K79" s="47">
        <f t="shared" si="13"/>
        <v>49.812955126736995</v>
      </c>
      <c r="L79" s="47">
        <f t="shared" si="13"/>
        <v>109.09090909090924</v>
      </c>
      <c r="M79" s="47">
        <f t="shared" si="13"/>
        <v>111.14575507543532</v>
      </c>
      <c r="N79" s="47">
        <f t="shared" si="13"/>
        <v>112.77669078771169</v>
      </c>
      <c r="O79" s="47">
        <f t="shared" si="13"/>
        <v>114.43155859974104</v>
      </c>
      <c r="P79" s="47">
        <f t="shared" si="13"/>
        <v>138.36461538663548</v>
      </c>
      <c r="Q79" s="47">
        <f t="shared" si="13"/>
        <v>140.39495646800469</v>
      </c>
      <c r="R79" s="47">
        <f t="shared" si="13"/>
        <v>142.11791628643482</v>
      </c>
      <c r="S79" s="47">
        <f t="shared" si="13"/>
        <v>143.86202067166846</v>
      </c>
      <c r="T79" s="47">
        <f t="shared" si="13"/>
        <v>145.62752911478651</v>
      </c>
      <c r="U79" s="47">
        <f t="shared" si="13"/>
        <v>147.41470429140486</v>
      </c>
      <c r="V79" s="47">
        <f t="shared" si="13"/>
        <v>149.2238121007565</v>
      </c>
      <c r="W79" s="47">
        <f t="shared" si="13"/>
        <v>151.05512170525208</v>
      </c>
      <c r="X79" s="47">
        <f t="shared" si="13"/>
        <v>152.9089055705258</v>
      </c>
      <c r="Y79" s="47">
        <f t="shared" si="13"/>
        <v>154.78543950597532</v>
      </c>
    </row>
    <row r="80" spans="1:39" x14ac:dyDescent="0.2">
      <c r="B80" s="35"/>
      <c r="C80" s="35"/>
      <c r="D80" s="35"/>
      <c r="E80" s="80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:39" x14ac:dyDescent="0.2">
      <c r="A81" s="25" t="s">
        <v>168</v>
      </c>
      <c r="B81" s="35"/>
      <c r="C81" s="35"/>
      <c r="D81" s="35"/>
      <c r="E81" s="80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5"/>
      <c r="AA81" s="128" t="s">
        <v>397</v>
      </c>
      <c r="AB81" s="110"/>
      <c r="AC81" s="110"/>
      <c r="AD81" s="110"/>
      <c r="AE81" s="110"/>
      <c r="AF81" s="35"/>
      <c r="AG81" s="35"/>
      <c r="AH81" s="35"/>
      <c r="AI81" s="35"/>
      <c r="AJ81" s="35"/>
      <c r="AK81" s="35"/>
      <c r="AL81" s="35"/>
      <c r="AM81" s="35"/>
    </row>
    <row r="82" spans="1:39" x14ac:dyDescent="0.2">
      <c r="B82" s="36" t="s">
        <v>35</v>
      </c>
      <c r="E82" s="80"/>
      <c r="AA82" s="96">
        <f>Окружение!D4</f>
        <v>2014</v>
      </c>
      <c r="AB82" s="96">
        <f>AA82+1</f>
        <v>2015</v>
      </c>
      <c r="AC82" s="96">
        <f>AB82+1</f>
        <v>2016</v>
      </c>
      <c r="AD82" s="96">
        <f>AC82+1</f>
        <v>2017</v>
      </c>
      <c r="AE82" s="96">
        <f>AD82+1</f>
        <v>2018</v>
      </c>
    </row>
    <row r="83" spans="1:39" x14ac:dyDescent="0.2">
      <c r="B83" s="36"/>
      <c r="C83" s="1" t="s">
        <v>468</v>
      </c>
      <c r="E83" s="80" t="s">
        <v>116</v>
      </c>
      <c r="F83" s="82">
        <f>IF('Пр-во и Продажи'!E20&gt;0,(Персонал!E70*'Пр-во и Продажи'!E20/('Пр-во и Продажи'!E20+'Пр-во и Продажи'!E21))/'Пр-во и Продажи'!E20*1000,0)</f>
        <v>86.677139841688643</v>
      </c>
      <c r="G83" s="82">
        <f>IF('Пр-во и Продажи'!F20&gt;0,(Персонал!F70*'Пр-во и Продажи'!F20/('Пр-во и Продажи'!F20+'Пр-во и Продажи'!F21))/'Пр-во и Продажи'!F20*1000,0)</f>
        <v>54.126185679052305</v>
      </c>
      <c r="H83" s="82">
        <f>IF('Пр-во и Продажи'!G20&gt;0,(Персонал!G70*'Пр-во и Продажи'!G20/('Пр-во и Продажи'!G20+'Пр-во и Продажи'!G21))/'Пр-во и Продажи'!G20*1000,0)</f>
        <v>37.971309188044387</v>
      </c>
      <c r="I83" s="82">
        <f>IF('Пр-во и Продажи'!H20&gt;0,(Персонал!H70*'Пр-во и Продажи'!H20/('Пр-во и Продажи'!H20+'Пр-во и Продажи'!H21))/'Пр-во и Продажи'!H20*1000,0)</f>
        <v>30.828160247023586</v>
      </c>
      <c r="J83" s="82">
        <f>IF('Пр-во и Продажи'!I20&gt;0,(Персонал!I70*'Пр-во и Продажи'!I20/('Пр-во и Продажи'!I20+'Пр-во и Продажи'!I21))/'Пр-во и Продажи'!I20*1000,0)</f>
        <v>31.656307072426838</v>
      </c>
      <c r="K83" s="82">
        <f>IF('Пр-во и Продажи'!J20&gt;0,(Персонал!J70*'Пр-во и Продажи'!J20/('Пр-во и Продажи'!J20+'Пр-во и Продажи'!J21))/'Пр-во и Продажи'!J20*1000,0)</f>
        <v>26.052334577988805</v>
      </c>
      <c r="L83" s="82">
        <f>IF('Пр-во и Продажи'!K20&gt;0,(Персонал!K70*'Пр-во и Продажи'!K20/('Пр-во и Продажи'!K20+'Пр-во и Продажи'!K21))/'Пр-во и Продажи'!K20*1000,0)</f>
        <v>17.783321600291984</v>
      </c>
      <c r="M83" s="82">
        <f>IF('Пр-во и Продажи'!L20&gt;0,(Персонал!L70*'Пр-во и Продажи'!L20/('Пр-во и Продажи'!L20+'Пр-во и Продажи'!L21))/'Пр-во и Продажи'!L20*1000,0)</f>
        <v>14.818698823722313</v>
      </c>
      <c r="N83" s="82">
        <f>IF('Пр-во и Продажи'!M20&gt;0,(Персонал!M70*'Пр-во и Продажи'!M20/('Пр-во и Продажи'!M20+'Пр-во и Продажи'!M21))/'Пр-во и Продажи'!M20*1000,0)</f>
        <v>12.807797604389203</v>
      </c>
      <c r="O83" s="82">
        <f>IF('Пр-во и Продажи'!N20&gt;0,(Персонал!N70*'Пр-во и Продажи'!N20/('Пр-во и Продажи'!N20+'Пр-во и Продажи'!N21))/'Пр-во и Продажи'!N20*1000,0)</f>
        <v>11.156863613523221</v>
      </c>
      <c r="P83" s="82">
        <f>IF('Пр-во и Продажи'!O20&gt;0,(Персонал!O70*'Пр-во и Продажи'!O20/('Пр-во и Продажи'!O20+'Пр-во и Продажи'!O21))/'Пр-во и Продажи'!O20*1000,0)</f>
        <v>10.60781186049554</v>
      </c>
      <c r="Q83" s="82">
        <f>IF('Пр-во и Продажи'!P20&gt;0,(Персонал!P70*'Пр-во и Продажи'!P20/('Пр-во и Продажи'!P20+'Пр-во и Продажи'!P21))/'Пр-во и Продажи'!P20*1000,0)</f>
        <v>9.7927302087303119</v>
      </c>
      <c r="R83" s="82">
        <f>IF('Пр-во и Продажи'!Q20&gt;0,(Персонал!Q70*'Пр-во и Продажи'!Q20/('Пр-во и Продажи'!Q20+'Пр-во и Продажи'!Q21))/'Пр-во и Продажи'!Q20*1000,0)</f>
        <v>9.1762615317047285</v>
      </c>
      <c r="S83" s="82">
        <f>IF('Пр-во и Продажи'!R20&gt;0,(Персонал!R70*'Пр-во и Продажи'!R20/('Пр-во и Продажи'!R20+'Пр-во и Продажи'!R21))/'Пр-во и Продажи'!R20*1000,0)</f>
        <v>8.7283392182761581</v>
      </c>
      <c r="T83" s="82">
        <f>IF('Пр-во и Продажи'!S20&gt;0,(Персонал!S70*'Пр-во и Продажи'!S20/('Пр-во и Продажи'!S20+'Пр-во и Продажи'!S21))/'Пр-во и Продажи'!S20*1000,0)</f>
        <v>8.2587657649260784</v>
      </c>
      <c r="U83" s="82">
        <f>IF('Пр-во и Продажи'!T20&gt;0,(Персонал!T70*'Пр-во и Продажи'!T20/('Пр-во и Продажи'!T20+'Пр-во и Продажи'!T21))/'Пр-во и Продажи'!T20*1000,0)</f>
        <v>7.645473853824118</v>
      </c>
      <c r="V83" s="82">
        <f>IF('Пр-во и Продажи'!U20&gt;0,(Персонал!U70*'Пр-во и Продажи'!U20/('Пр-во и Продажи'!U20+'Пр-во и Продажи'!U21))/'Пр-во и Продажи'!U20*1000,0)</f>
        <v>7.7794306096563419</v>
      </c>
      <c r="W83" s="82">
        <f>IF('Пр-во и Продажи'!V20&gt;0,(Персонал!V70*'Пр-во и Продажи'!V20/('Пр-во и Продажи'!V20+'Пр-во и Продажи'!V21))/'Пр-во и Продажи'!V20*1000,0)</f>
        <v>7.3520865614525333</v>
      </c>
      <c r="X83" s="82">
        <f>IF('Пр-во и Продажи'!W20&gt;0,(Персонал!W70*'Пр-во и Продажи'!W20/('Пр-во и Продажи'!W20+'Пр-во и Продажи'!W21))/'Пр-во и Продажи'!W20*1000,0)</f>
        <v>6.9295458660572642</v>
      </c>
      <c r="Y83" s="82">
        <f>IF('Пр-во и Продажи'!X20&gt;0,(Персонал!X70*'Пр-во и Продажи'!X20/('Пр-во и Продажи'!X20+'Пр-во и Продажи'!X21))/'Пр-во и Продажи'!X20*1000,0)</f>
        <v>6.5782931283945052</v>
      </c>
      <c r="AA83" s="149">
        <f>AVERAGE(F83:I83)</f>
        <v>52.400698738952229</v>
      </c>
      <c r="AB83" s="149">
        <f>AVERAGE(J83:M83)</f>
        <v>22.577665518607485</v>
      </c>
      <c r="AC83" s="149">
        <f>AVERAGE(N83:Q83)</f>
        <v>11.091300821784568</v>
      </c>
      <c r="AD83" s="149">
        <f>AVERAGE(R83:U83)</f>
        <v>8.4522100921827708</v>
      </c>
      <c r="AE83" s="149">
        <f>AVERAGE(V83:Y83)</f>
        <v>7.1598390413901614</v>
      </c>
    </row>
    <row r="84" spans="1:39" x14ac:dyDescent="0.2">
      <c r="C84" s="1" t="s">
        <v>169</v>
      </c>
      <c r="E84" s="80" t="s">
        <v>116</v>
      </c>
      <c r="F84" s="82">
        <f>IF('Пр-во и Продажи'!E20&gt;0,((F18-F19)/'Пр-во и Продажи'!E20)*1000,0)</f>
        <v>106.16363636363636</v>
      </c>
      <c r="G84" s="82">
        <f>IF('Пр-во и Продажи'!F20&gt;0,((G18-G19)/'Пр-во и Продажи'!F20)*1000,0)</f>
        <v>108.10054956026455</v>
      </c>
      <c r="H84" s="82">
        <f>IF('Пр-во и Продажи'!G20&gt;0,((H18-H19)/'Пр-во и Продажи'!G20)*1000,0)</f>
        <v>110.07280096552776</v>
      </c>
      <c r="I84" s="82">
        <f>IF('Пр-во и Продажи'!H20&gt;0,((I18-I19)/'Пр-во и Продажи'!H20)*1000,0)</f>
        <v>112.08103531094611</v>
      </c>
      <c r="J84" s="82">
        <f>IF('Пр-во и Продажи'!I20&gt;0,((J18-J19)/'Пр-во и Продажи'!I20)*1000,0)</f>
        <v>114.19220357665644</v>
      </c>
      <c r="K84" s="82">
        <f>IF('Пр-во и Продажи'!J20&gt;0,((K18-K19)/'Пр-во и Продажи'!J20)*1000,0)</f>
        <v>116.34313799400675</v>
      </c>
      <c r="L84" s="82">
        <f>IF('Пр-во и Продажи'!K20&gt;0,((L18-L19)/'Пр-во и Продажи'!K20)*1000,0)</f>
        <v>118.53458760173636</v>
      </c>
      <c r="M84" s="82">
        <f>IF('Пр-во и Продажи'!L20&gt;0,((M18-M19)/'Пр-во и Продажи'!L20)*1000,0)</f>
        <v>120.76731554754446</v>
      </c>
      <c r="N84" s="82">
        <f>IF('Пр-во и Продажи'!M20&gt;0,((N18-N19)/'Пр-во и Продажи'!M20)*1000,0)</f>
        <v>122.53943655809104</v>
      </c>
      <c r="O84" s="82">
        <f>IF('Пр-во и Продажи'!N20&gt;0,((O18-O19)/'Пр-во и Продажи'!N20)*1000,0)</f>
        <v>124.33756139973863</v>
      </c>
      <c r="P84" s="82">
        <f>IF('Пр-во и Продажи'!O20&gt;0,((P18-P19)/'Пр-во и Продажи'!O20)*1000,0)</f>
        <v>126.16207164870465</v>
      </c>
      <c r="Q84" s="82">
        <f>IF('Пр-во и Продажи'!P20&gt;0,((Q18-Q19)/'Пр-во и Продажи'!P20)*1000,0)</f>
        <v>128.01335448039708</v>
      </c>
      <c r="R84" s="82">
        <f>IF('Пр-во и Продажи'!Q20&gt;0,((R18-R19)/'Пр-во и Продажи'!Q20)*1000,0)</f>
        <v>129.58436437662823</v>
      </c>
      <c r="S84" s="82">
        <f>IF('Пр-во и Продажи'!R20&gt;0,((S18-S19)/'Пр-во и Продажи'!R20)*1000,0)</f>
        <v>131.17465407459628</v>
      </c>
      <c r="T84" s="82">
        <f>IF('Пр-во и Продажи'!S20&gt;0,((T18-T19)/'Пр-во и Продажи'!S20)*1000,0)</f>
        <v>132.78446018054785</v>
      </c>
      <c r="U84" s="82">
        <f>IF('Пр-во и Продажи'!T20&gt;0,((U18-U19)/'Пр-во и Продажи'!T20)*1000,0)</f>
        <v>134.41402220441697</v>
      </c>
      <c r="V84" s="82">
        <f>IF('Пр-во и Продажи'!U20&gt;0,((V18-V19)/'Пр-во и Продажи'!U20)*1000,0)</f>
        <v>136.06358259545968</v>
      </c>
      <c r="W84" s="82">
        <f>IF('Пр-во и Продажи'!V20&gt;0,((W18-W19)/'Пр-во и Продажи'!V20)*1000,0)</f>
        <v>137.73338677832615</v>
      </c>
      <c r="X84" s="82">
        <f>IF('Пр-во и Продажи'!W20&gt;0,((X18-X19)/'Пр-во и Продажи'!W20)*1000,0)</f>
        <v>139.42368318957529</v>
      </c>
      <c r="Y84" s="82">
        <f>IF('Пр-во и Продажи'!X20&gt;0,((Y18-Y19)/'Пр-во и Продажи'!X20)*1000,0)</f>
        <v>141.13472331463788</v>
      </c>
      <c r="AA84" s="149">
        <f t="shared" ref="AA84:AA96" si="14">AVERAGE(F84:I84)</f>
        <v>109.10450555009369</v>
      </c>
      <c r="AB84" s="149">
        <f t="shared" ref="AB84:AB96" si="15">AVERAGE(J84:M84)</f>
        <v>117.459311179986</v>
      </c>
      <c r="AC84" s="149">
        <f t="shared" ref="AC84:AC96" si="16">AVERAGE(N84:Q84)</f>
        <v>125.26310602173285</v>
      </c>
      <c r="AD84" s="149">
        <f t="shared" ref="AD84:AD95" si="17">AVERAGE(R84:U84)</f>
        <v>131.98937520904732</v>
      </c>
      <c r="AE84" s="149">
        <f t="shared" ref="AE84:AE96" si="18">AVERAGE(V84:Y84)</f>
        <v>138.58884396949975</v>
      </c>
    </row>
    <row r="85" spans="1:39" x14ac:dyDescent="0.2">
      <c r="C85" s="1" t="s">
        <v>170</v>
      </c>
      <c r="E85" s="80" t="s">
        <v>116</v>
      </c>
      <c r="F85" s="82">
        <f>IF('Пр-во и Продажи'!E20&gt;0,((Затраты!F58-Затраты!F59)*('Пр-во и Продажи'!E20/('Пр-во и Продажи'!E20+'Пр-во и Продажи'!E21))/'Пр-во и Продажи'!E20)*1000,0)</f>
        <v>3.7107219956824173</v>
      </c>
      <c r="G85" s="82">
        <f>IF('Пр-во и Продажи'!F20&gt;0,((Затраты!G58-Затраты!G59)*('Пр-во и Продажи'!F20/('Пр-во и Продажи'!F20+'Пр-во и Продажи'!F21))/'Пр-во и Продажи'!F20)*1000,0)</f>
        <v>2.3171879933796524</v>
      </c>
      <c r="H85" s="82">
        <f>IF('Пр-во и Продажи'!G20&gt;0,((Затраты!H58-Затраты!H59)*('Пр-во и Продажи'!G20/('Пр-во и Продажи'!G20+'Пр-во и Продажи'!G21))/'Пр-во и Продажи'!G20)*1000,0)</f>
        <v>1.6255840059591555</v>
      </c>
      <c r="I85" s="82">
        <f>IF('Пр-во и Продажи'!H20&gt;0,((Затраты!I58-Затраты!I59)*('Пр-во и Продажи'!H20/('Пр-во и Продажи'!H20+'Пр-во и Продажи'!H21))/'Пр-во и Продажи'!H20)*1000,0)</f>
        <v>1.3197797311262098</v>
      </c>
      <c r="J85" s="82">
        <f>IF('Пр-во и Продажи'!I20&gt;0,((Затраты!J58-Затраты!J59)*('Пр-во и Продажи'!I20/('Пр-во и Продажи'!I20+'Пр-во и Продажи'!I21))/'Пр-во и Продажи'!I20)*1000,0)</f>
        <v>0.89790241094865653</v>
      </c>
      <c r="K85" s="82">
        <f>IF('Пр-во и Продажи'!J20&gt;0,((Затраты!K58-Затраты!K59)*('Пр-во и Продажи'!J20/('Пр-во и Продажи'!J20+'Пр-во и Продажи'!J21))/'Пр-во и Продажи'!J20)*1000,0)</f>
        <v>0.7220797954490713</v>
      </c>
      <c r="L85" s="82">
        <f>IF('Пр-во и Продажи'!K20&gt;0,((Затраты!L58-Затраты!L59)*('Пр-во и Продажи'!K20/('Пр-во и Продажи'!K20+'Пр-во и Продажи'!K21))/'Пр-во и Продажи'!K20)*1000,0)</f>
        <v>0.49289161342158661</v>
      </c>
      <c r="M85" s="82">
        <f>IF('Пр-во и Продажи'!L20&gt;0,((Затраты!M58-Затраты!M59)*('Пр-во и Продажи'!L20/('Пр-во и Продажи'!L20+'Пр-во и Продажи'!L21))/'Пр-во и Продажи'!L20)*1000,0)</f>
        <v>0.41072261617948436</v>
      </c>
      <c r="N85" s="82">
        <f>IF('Пр-во и Продажи'!M20&gt;0,((Затраты!N58-Затраты!N59)*('Пр-во и Продажи'!M20/('Пр-во и Продажи'!M20+'Пр-во и Продажи'!M21))/'Пр-во и Продажи'!M20)*1000,0)</f>
        <v>0.3549874521473465</v>
      </c>
      <c r="O85" s="82">
        <f>IF('Пр-во и Продажи'!N20&gt;0,((Затраты!O58-Затраты!O59)*('Пр-во и Продажи'!N20/('Пр-во и Продажи'!N20+'Пр-во и Продажи'!N21))/'Пр-во и Продажи'!N20)*1000,0)</f>
        <v>0.30922932345236137</v>
      </c>
      <c r="P85" s="82">
        <f>IF('Пр-во и Продажи'!O20&gt;0,((Затраты!P58-Затраты!P59)*('Пр-во и Продажи'!O20/('Пр-во и Продажи'!O20+'Пр-во и Продажи'!O21))/'Пр-во и Продажи'!O20)*1000,0)</f>
        <v>0.28744876771942163</v>
      </c>
      <c r="Q85" s="82">
        <f>IF('Пр-во и Продажи'!P20&gt;0,((Затраты!Q58-Затраты!Q59)*('Пр-во и Продажи'!P20/('Пр-во и Продажи'!P20+'Пр-во и Продажи'!P21))/'Пр-во и Продажи'!P20)*1000,0)</f>
        <v>0.26536181713320706</v>
      </c>
      <c r="R85" s="82">
        <f>IF('Пр-во и Продажи'!Q20&gt;0,((Затраты!R58-Затраты!R59)*('Пр-во и Продажи'!Q20/('Пр-во и Продажи'!Q20+'Пр-во и Продажи'!Q21))/'Пр-во и Продажи'!Q20)*1000,0)</f>
        <v>0.24865684876847324</v>
      </c>
      <c r="S85" s="82">
        <f>IF('Пр-во и Продажи'!R20&gt;0,((Затраты!S58-Затраты!S59)*('Пр-во и Продажи'!R20/('Пр-во и Продажи'!R20+'Пр-во и Продажи'!R21))/'Пр-во и Продажи'!R20)*1000,0)</f>
        <v>0.23651912246616494</v>
      </c>
      <c r="T85" s="82">
        <f>IF('Пр-во и Продажи'!S20&gt;0,((Затраты!T58-Затраты!T59)*('Пр-во и Продажи'!S20/('Пр-во и Продажи'!S20+'Пр-во и Продажи'!S21))/'Пр-во и Продажи'!S20)*1000,0)</f>
        <v>0.22379469708095373</v>
      </c>
      <c r="U85" s="82">
        <f>IF('Пр-во и Продажи'!T20&gt;0,((Затраты!U58-Затраты!U59)*('Пр-во и Продажи'!T20/('Пр-во и Продажи'!T20+'Пр-во и Продажи'!T21))/'Пр-во и Продажи'!T20)*1000,0)</f>
        <v>0.20717581220469886</v>
      </c>
      <c r="V85" s="82">
        <f>IF('Пр-во и Продажи'!U20&gt;0,((Затраты!V58-Затраты!V59)*('Пр-во и Продажи'!U20/('Пр-во и Продажи'!U20+'Пр-во и Продажи'!U21))/'Пр-во и Продажи'!U20)*1000,0)</f>
        <v>0.21080575067816132</v>
      </c>
      <c r="W85" s="82">
        <f>IF('Пр-во и Продажи'!V20&gt;0,((Затраты!W58-Затраты!W59)*('Пр-во и Продажи'!V20/('Пр-во и Продажи'!V20+'Пр-во и Продажи'!V21))/'Пр-во и Продажи'!V20)*1000,0)</f>
        <v>0.19922565087398963</v>
      </c>
      <c r="X85" s="82">
        <f>IF('Пр-во и Продажи'!W20&gt;0,((Затраты!X58-Затраты!X59)*('Пр-во и Продажи'!W20/('Пр-во и Продажи'!W20+'Пр-во и Продажи'!W21))/'Пр-во и Продажи'!W20)*1000,0)</f>
        <v>0.18777571154625686</v>
      </c>
      <c r="Y85" s="82">
        <f>IF('Пр-во и Продажи'!X20&gt;0,((Затраты!Y58-Затраты!Y59)*('Пр-во и Продажи'!X20/('Пр-во и Продажи'!X20+'Пр-во и Продажи'!X21))/'Пр-во и Продажи'!X20)*1000,0)</f>
        <v>0.17825752175112636</v>
      </c>
      <c r="AA85" s="149">
        <f t="shared" si="14"/>
        <v>2.2433184315368591</v>
      </c>
      <c r="AB85" s="149">
        <f t="shared" si="15"/>
        <v>0.63089910899969959</v>
      </c>
      <c r="AC85" s="149">
        <f t="shared" si="16"/>
        <v>0.30425684011308418</v>
      </c>
      <c r="AD85" s="149">
        <f t="shared" si="17"/>
        <v>0.22903662013007267</v>
      </c>
      <c r="AE85" s="149">
        <f t="shared" si="18"/>
        <v>0.19401615871238354</v>
      </c>
    </row>
    <row r="86" spans="1:39" x14ac:dyDescent="0.2">
      <c r="C86" s="1" t="s">
        <v>171</v>
      </c>
      <c r="E86" s="80" t="s">
        <v>116</v>
      </c>
      <c r="F86" s="82">
        <f>IF('Пр-во и Продажи'!E20&gt;0,((Затраты!F67-Затраты!F68)*('Пр-во и Продажи'!E20/('Пр-во и Продажи'!E20+'Пр-во и Продажи'!E21))/'Пр-во и Продажи'!E20)*1000,0)</f>
        <v>0</v>
      </c>
      <c r="G86" s="82">
        <f>IF('Пр-во и Продажи'!F20&gt;0,((Затраты!G67-Затраты!G68)*('Пр-во и Продажи'!F20/('Пр-во и Продажи'!F20+'Пр-во и Продажи'!F21))/'Пр-во и Продажи'!F20)*1000,0)</f>
        <v>0</v>
      </c>
      <c r="H86" s="82">
        <f>IF('Пр-во и Продажи'!G20&gt;0,((Затраты!H67-Затраты!H68)*('Пр-во и Продажи'!G20/('Пр-во и Продажи'!G20+'Пр-во и Продажи'!G21))/'Пр-во и Продажи'!G20)*1000,0)</f>
        <v>0</v>
      </c>
      <c r="I86" s="82">
        <f>IF('Пр-во и Продажи'!H20&gt;0,((Затраты!I67-Затраты!I68)*('Пр-во и Продажи'!H20/('Пр-во и Продажи'!H20+'Пр-во и Продажи'!H21))/'Пр-во и Продажи'!H20)*1000,0)</f>
        <v>0</v>
      </c>
      <c r="J86" s="82">
        <f>IF('Пр-во и Продажи'!I20&gt;0,((Затраты!J67-Затраты!J68)*('Пр-во и Продажи'!I20/('Пр-во и Продажи'!I20+'Пр-во и Продажи'!I21))/'Пр-во и Продажи'!I20)*1000,0)</f>
        <v>0</v>
      </c>
      <c r="K86" s="82">
        <f>IF('Пр-во и Продажи'!J20&gt;0,((Затраты!K67-Затраты!K68)*('Пр-во и Продажи'!J20/('Пр-во и Продажи'!J20+'Пр-во и Продажи'!J21))/'Пр-во и Продажи'!J20)*1000,0)</f>
        <v>0</v>
      </c>
      <c r="L86" s="82">
        <f>IF('Пр-во и Продажи'!K20&gt;0,((Затраты!L67-Затраты!L68)*('Пр-во и Продажи'!K20/('Пр-во и Продажи'!K20+'Пр-во и Продажи'!K21))/'Пр-во и Продажи'!K20)*1000,0)</f>
        <v>0</v>
      </c>
      <c r="M86" s="82">
        <f>IF('Пр-во и Продажи'!L20&gt;0,((Затраты!M67-Затраты!M68)*('Пр-во и Продажи'!L20/('Пр-во и Продажи'!L20+'Пр-во и Продажи'!L21))/'Пр-во и Продажи'!L20)*1000,0)</f>
        <v>0</v>
      </c>
      <c r="N86" s="82">
        <f>IF('Пр-во и Продажи'!M20&gt;0,((Затраты!N67-Затраты!N68)*('Пр-во и Продажи'!M20/('Пр-во и Продажи'!M20+'Пр-во и Продажи'!M21))/'Пр-во и Продажи'!M20)*1000,0)</f>
        <v>0</v>
      </c>
      <c r="O86" s="82">
        <f>IF('Пр-во и Продажи'!N20&gt;0,((Затраты!O67-Затраты!O68)*('Пр-во и Продажи'!N20/('Пр-во и Продажи'!N20+'Пр-во и Продажи'!N21))/'Пр-во и Продажи'!N20)*1000,0)</f>
        <v>0</v>
      </c>
      <c r="P86" s="82">
        <f>IF('Пр-во и Продажи'!O20&gt;0,((Затраты!P67-Затраты!P68)*('Пр-во и Продажи'!O20/('Пр-во и Продажи'!O20+'Пр-во и Продажи'!O21))/'Пр-во и Продажи'!O20)*1000,0)</f>
        <v>0</v>
      </c>
      <c r="Q86" s="82">
        <f>IF('Пр-во и Продажи'!P20&gt;0,((Затраты!Q67-Затраты!Q68)*('Пр-во и Продажи'!P20/('Пр-во и Продажи'!P20+'Пр-во и Продажи'!P21))/'Пр-во и Продажи'!P20)*1000,0)</f>
        <v>0</v>
      </c>
      <c r="R86" s="82">
        <f>IF('Пр-во и Продажи'!Q20&gt;0,((Затраты!R67-Затраты!R68)*('Пр-во и Продажи'!Q20/('Пр-во и Продажи'!Q20+'Пр-во и Продажи'!Q21))/'Пр-во и Продажи'!Q20)*1000,0)</f>
        <v>0</v>
      </c>
      <c r="S86" s="82">
        <f>IF('Пр-во и Продажи'!R20&gt;0,((Затраты!S67-Затраты!S68)*('Пр-во и Продажи'!R20/('Пр-во и Продажи'!R20+'Пр-во и Продажи'!R21))/'Пр-во и Продажи'!R20)*1000,0)</f>
        <v>0</v>
      </c>
      <c r="T86" s="82">
        <f>IF('Пр-во и Продажи'!S20&gt;0,((Затраты!T67-Затраты!T68)*('Пр-во и Продажи'!S20/('Пр-во и Продажи'!S20+'Пр-во и Продажи'!S21))/'Пр-во и Продажи'!S20)*1000,0)</f>
        <v>0</v>
      </c>
      <c r="U86" s="82">
        <f>IF('Пр-во и Продажи'!T20&gt;0,((Затраты!U67-Затраты!U68)*('Пр-во и Продажи'!T20/('Пр-во и Продажи'!T20+'Пр-во и Продажи'!T21))/'Пр-во и Продажи'!T20)*1000,0)</f>
        <v>0</v>
      </c>
      <c r="V86" s="82">
        <f>IF('Пр-во и Продажи'!U20&gt;0,((Затраты!V67-Затраты!V68)*('Пр-во и Продажи'!U20/('Пр-во и Продажи'!U20+'Пр-во и Продажи'!U21))/'Пр-во и Продажи'!U20)*1000,0)</f>
        <v>0</v>
      </c>
      <c r="W86" s="82">
        <f>IF('Пр-во и Продажи'!V20&gt;0,((Затраты!W67-Затраты!W68)*('Пр-во и Продажи'!V20/('Пр-во и Продажи'!V20+'Пр-во и Продажи'!V21))/'Пр-во и Продажи'!V20)*1000,0)</f>
        <v>0</v>
      </c>
      <c r="X86" s="82">
        <f>IF('Пр-во и Продажи'!W20&gt;0,((Затраты!X67-Затраты!X68)*('Пр-во и Продажи'!W20/('Пр-во и Продажи'!W20+'Пр-во и Продажи'!W21))/'Пр-во и Продажи'!W20)*1000,0)</f>
        <v>0</v>
      </c>
      <c r="Y86" s="82">
        <f>IF('Пр-во и Продажи'!X20&gt;0,((Затраты!Y67-Затраты!Y68)*('Пр-во и Продажи'!X20/('Пр-во и Продажи'!X20+'Пр-во и Продажи'!X21))/'Пр-во и Продажи'!X20)*1000,0)</f>
        <v>0</v>
      </c>
      <c r="AA86" s="149">
        <f t="shared" si="14"/>
        <v>0</v>
      </c>
      <c r="AB86" s="149">
        <f t="shared" si="15"/>
        <v>0</v>
      </c>
      <c r="AC86" s="149">
        <f t="shared" si="16"/>
        <v>0</v>
      </c>
      <c r="AD86" s="149">
        <f t="shared" si="17"/>
        <v>0</v>
      </c>
      <c r="AE86" s="149">
        <f t="shared" si="18"/>
        <v>0</v>
      </c>
    </row>
    <row r="87" spans="1:39" x14ac:dyDescent="0.2">
      <c r="C87" s="1" t="s">
        <v>172</v>
      </c>
      <c r="E87" s="80" t="s">
        <v>116</v>
      </c>
      <c r="F87" s="82">
        <f>IF('Пр-во и Продажи'!E20&gt;0,((Затраты!F78-Затраты!F79)*('Пр-во и Продажи'!E20/('Пр-во и Продажи'!E20+'Пр-во и Продажи'!E21))/'Пр-во и Продажи'!E20)*1000,0)</f>
        <v>10.913888222595343</v>
      </c>
      <c r="G87" s="82">
        <f>IF('Пр-во и Продажи'!F20&gt;0,((Затраты!G78-Затраты!G79)*('Пр-во и Продажи'!F20/('Пр-во и Продажи'!F20+'Пр-во и Продажи'!F21))/'Пр-во и Продажи'!F20)*1000,0)</f>
        <v>6.8152588040578017</v>
      </c>
      <c r="H87" s="82">
        <f>IF('Пр-во и Продажи'!G20&gt;0,((Затраты!H78-Затраты!H79)*('Пр-во и Продажи'!G20/('Пр-во и Продажи'!G20+'Пр-во и Продажи'!G21))/'Пр-во и Продажи'!G20)*1000,0)</f>
        <v>4.7811294292916342</v>
      </c>
      <c r="I87" s="82">
        <f>IF('Пр-во и Продажи'!H20&gt;0,((Затраты!I78-Затраты!I79)*('Пр-во и Продажи'!H20/('Пр-во и Продажи'!H20+'Пр-во и Продажи'!H21))/'Пр-во и Продажи'!H20)*1000,0)</f>
        <v>3.8817050915476754</v>
      </c>
      <c r="J87" s="82">
        <f>IF('Пр-во и Продажи'!I20&gt;0,((Затраты!J78-Затраты!J79)*('Пр-во и Продажи'!I20/('Пр-во и Продажи'!I20+'Пр-во и Продажи'!I21))/'Пр-во и Продажи'!I20)*1000,0)</f>
        <v>2.3894596588929082</v>
      </c>
      <c r="K87" s="82">
        <f>IF('Пр-во и Продажи'!J20&gt;0,((Затраты!K78-Затраты!K79)*('Пр-во и Продажи'!J20/('Пр-во и Продажи'!J20+'Пр-во и Продажи'!J21))/'Пр-во и Продажи'!J20)*1000,0)</f>
        <v>1.9215680019216022</v>
      </c>
      <c r="L87" s="82">
        <f>IF('Пр-во и Продажи'!K20&gt;0,((Затраты!L78-Затраты!L79)*('Пр-во и Продажи'!K20/('Пр-во и Продажи'!K20+'Пр-во и Продажи'!K21))/'Пр-во и Продажи'!K20)*1000,0)</f>
        <v>2.8194469546358212</v>
      </c>
      <c r="M87" s="82">
        <f>IF('Пр-во и Продажи'!L20&gt;0,((Затраты!M78-Затраты!M79)*('Пр-во и Продажи'!L20/('Пр-во и Продажи'!L20+'Пр-во и Продажи'!L21))/'Пр-во и Продажи'!L20)*1000,0)</f>
        <v>2.3494224650091975</v>
      </c>
      <c r="N87" s="82">
        <f>IF('Пр-во и Продажи'!M20&gt;0,((Затраты!N78-Затраты!N79)*('Пр-во и Продажи'!M20/('Пр-во и Продажи'!M20+'Пр-во и Продажи'!M21))/'Пр-во и Продажи'!M20)*1000,0)</f>
        <v>2.0306052357898201</v>
      </c>
      <c r="O87" s="82">
        <f>IF('Пр-во и Продажи'!N20&gt;0,((Затраты!O78-Затраты!O79)*('Пр-во и Продажи'!N20/('Пр-во и Продажи'!N20+'Пр-во и Продажи'!N21))/'Пр-во и Продажи'!N20)*1000,0)</f>
        <v>1.7688588130756613</v>
      </c>
      <c r="P87" s="82">
        <f>IF('Пр-во и Продажи'!O20&gt;0,((Затраты!P78-Затраты!P79)*('Пр-во и Продажи'!O20/('Пр-во и Продажи'!O20+'Пр-во и Продажи'!O21))/'Пр-во и Продажи'!O20)*1000,0)</f>
        <v>1.9594117647344875</v>
      </c>
      <c r="Q87" s="82">
        <f>IF('Пр-во и Продажи'!P20&gt;0,((Затраты!Q78-Затраты!Q79)*('Пр-во и Продажи'!P20/('Пр-во и Продажи'!P20+'Пр-во и Продажи'!P21))/'Пр-во и Продажи'!P20)*1000,0)</f>
        <v>1.8088547414113567</v>
      </c>
      <c r="R87" s="82">
        <f>IF('Пр-во и Продажи'!Q20&gt;0,((Затраты!R78-Затраты!R79)*('Пр-во и Продажи'!Q20/('Пр-во и Продажи'!Q20+'Пр-во и Продажи'!Q21))/'Пр-во и Продажи'!Q20)*1000,0)</f>
        <v>1.6949843226822479</v>
      </c>
      <c r="S87" s="82">
        <f>IF('Пр-во и Продажи'!R20&gt;0,((Затраты!S78-Затраты!S79)*('Пр-во и Продажи'!R20/('Пр-во и Продажи'!R20+'Пр-во и Продажи'!R21))/'Пр-во и Продажи'!R20)*1000,0)</f>
        <v>1.6122467833893874</v>
      </c>
      <c r="T87" s="82">
        <f>IF('Пр-во и Продажи'!S20&gt;0,((Затраты!T78-Затраты!T79)*('Пр-во и Продажи'!S20/('Пр-во и Продажи'!S20+'Пр-во и Продажи'!S21))/'Пр-во и Продажи'!S20)*1000,0)</f>
        <v>1.5255099746109775</v>
      </c>
      <c r="U87" s="82">
        <f>IF('Пр-во и Продажи'!T20&gt;0,((Затраты!U78-Затраты!U79)*('Пр-во и Продажи'!T20/('Пр-во и Продажи'!T20+'Пр-во и Продажи'!T21))/'Пр-во и Продажи'!T20)*1000,0)</f>
        <v>1.4122263491438929</v>
      </c>
      <c r="V87" s="82">
        <f>IF('Пр-во и Продажи'!U20&gt;0,((Затраты!V78-Затраты!V79)*('Пр-во и Продажи'!U20/('Пр-во и Продажи'!U20+'Пр-во и Продажи'!U21))/'Пр-во и Продажи'!U20)*1000,0)</f>
        <v>1.4369700424517287</v>
      </c>
      <c r="W87" s="82">
        <f>IF('Пр-во и Продажи'!V20&gt;0,((Затраты!W78-Затраты!W79)*('Пр-во и Продажи'!V20/('Пр-во и Продажи'!V20+'Пр-во и Продажи'!V21))/'Пр-во и Продажи'!V20)*1000,0)</f>
        <v>1.3580335976267455</v>
      </c>
      <c r="X87" s="82">
        <f>IF('Пр-во и Продажи'!W20&gt;0,((Затраты!X78-Затраты!X79)*('Пр-во и Продажи'!W20/('Пр-во и Продажи'!W20+'Пр-во и Продажи'!W21))/'Пр-во и Продажи'!W20)*1000,0)</f>
        <v>1.2799843994957083</v>
      </c>
      <c r="Y87" s="82">
        <f>IF('Пр-во и Продажи'!X20&gt;0,((Затраты!Y78-Затраты!Y79)*('Пр-во и Продажи'!X20/('Пр-во и Продажи'!X20+'Пр-во и Продажи'!X21))/'Пр-во и Продажи'!X20)*1000,0)</f>
        <v>1.2151030879092248</v>
      </c>
      <c r="AA87" s="149">
        <f t="shared" si="14"/>
        <v>6.597995386873114</v>
      </c>
      <c r="AB87" s="149">
        <f t="shared" si="15"/>
        <v>2.369974270114882</v>
      </c>
      <c r="AC87" s="149">
        <f t="shared" si="16"/>
        <v>1.8919326387528315</v>
      </c>
      <c r="AD87" s="149">
        <f t="shared" si="17"/>
        <v>1.5612418574566265</v>
      </c>
      <c r="AE87" s="149">
        <f t="shared" si="18"/>
        <v>1.3225227818708518</v>
      </c>
    </row>
    <row r="88" spans="1:39" x14ac:dyDescent="0.2">
      <c r="C88" s="1" t="s">
        <v>154</v>
      </c>
      <c r="E88" s="80" t="s">
        <v>116</v>
      </c>
      <c r="F88" s="82">
        <f>IF('Пр-во и Продажи'!E20&gt;0,('НА и ОС'!G116*'Пр-во и Продажи'!E20/'Пр-во и Продажи'!E22)/'Пр-во и Продажи'!E20*1000,0)</f>
        <v>0</v>
      </c>
      <c r="G88" s="82">
        <f>IF('Пр-во и Продажи'!F20&gt;0,('НА и ОС'!H116*'Пр-во и Продажи'!F20/'Пр-во и Продажи'!F22)/'Пр-во и Продажи'!F20*1000,0)</f>
        <v>0</v>
      </c>
      <c r="H88" s="82">
        <f>IF('Пр-во и Продажи'!G20&gt;0,('НА и ОС'!I116*'Пр-во и Продажи'!G20/'Пр-во и Продажи'!G22)/'Пр-во и Продажи'!G20*1000,0)</f>
        <v>0</v>
      </c>
      <c r="I88" s="82">
        <f>IF('Пр-во и Продажи'!H20&gt;0,('НА и ОС'!J116*'Пр-во и Продажи'!H20/'Пр-во и Продажи'!H22)/'Пр-во и Продажи'!H20*1000,0)</f>
        <v>0</v>
      </c>
      <c r="J88" s="82">
        <f>IF('Пр-во и Продажи'!I20&gt;0,('НА и ОС'!K116*'Пр-во и Продажи'!I20/'Пр-во и Продажи'!I22)/'Пр-во и Продажи'!I20*1000,0)</f>
        <v>0</v>
      </c>
      <c r="K88" s="82">
        <f>IF('Пр-во и Продажи'!J20&gt;0,('НА и ОС'!L116*'Пр-во и Продажи'!J20/'Пр-во и Продажи'!J22)/'Пр-во и Продажи'!J20*1000,0)</f>
        <v>0</v>
      </c>
      <c r="L88" s="82">
        <f>IF('Пр-во и Продажи'!K20&gt;0,('НА и ОС'!M116*'Пр-во и Продажи'!K20/'Пр-во и Продажи'!K22)/'Пр-во и Продажи'!K20*1000,0)</f>
        <v>0</v>
      </c>
      <c r="M88" s="82">
        <f>IF('Пр-во и Продажи'!L20&gt;0,('НА и ОС'!N116*'Пр-во и Продажи'!L20/'Пр-во и Продажи'!L22)/'Пр-во и Продажи'!L20*1000,0)</f>
        <v>0</v>
      </c>
      <c r="N88" s="82">
        <f>IF('Пр-во и Продажи'!M20&gt;0,('НА и ОС'!O116*'Пр-во и Продажи'!M20/'Пр-во и Продажи'!M22)/'Пр-во и Продажи'!M20*1000,0)</f>
        <v>0</v>
      </c>
      <c r="O88" s="82">
        <f>IF('Пр-во и Продажи'!N20&gt;0,('НА и ОС'!P116*'Пр-во и Продажи'!N20/'Пр-во и Продажи'!N22)/'Пр-во и Продажи'!N20*1000,0)</f>
        <v>0</v>
      </c>
      <c r="P88" s="82">
        <f>IF('Пр-во и Продажи'!O20&gt;0,('НА и ОС'!Q116*'Пр-во и Продажи'!O20/'Пр-во и Продажи'!O22)/'Пр-во и Продажи'!O20*1000,0)</f>
        <v>0</v>
      </c>
      <c r="Q88" s="82">
        <f>IF('Пр-во и Продажи'!P20&gt;0,('НА и ОС'!R116*'Пр-во и Продажи'!P20/'Пр-во и Продажи'!P22)/'Пр-во и Продажи'!P20*1000,0)</f>
        <v>4.6119019731507335E-3</v>
      </c>
      <c r="R88" s="82">
        <f>IF('Пр-во и Продажи'!Q20&gt;0,('НА и ОС'!S116*'Пр-во и Продажи'!Q20/'Пр-во и Продажи'!Q22)/'Пр-во и Продажи'!Q20*1000,0)</f>
        <v>2.4598623853211002E-2</v>
      </c>
      <c r="S88" s="82">
        <f>IF('Пр-во и Продажи'!R20&gt;0,('НА и ОС'!T116*'Пр-во и Продажи'!R20/'Пр-во и Продажи'!R22)/'Пр-во и Продажи'!R20*1000,0)</f>
        <v>2.311422413793103E-2</v>
      </c>
      <c r="T88" s="82">
        <f>IF('Пр-во и Продажи'!S20&gt;0,('НА и ОС'!U116*'Пр-во и Продажи'!S20/'Пр-во и Продажи'!S22)/'Пр-во и Продажи'!S20*1000,0)</f>
        <v>2.1605560032232071E-2</v>
      </c>
      <c r="U88" s="82">
        <f>IF('Пр-во и Продажи'!T20&gt;0,('НА и ОС'!V116*'Пр-во и Продажи'!T20/'Пр-во и Продажи'!T22)/'Пр-во и Продажи'!T20*1000,0)</f>
        <v>1.9758658806190123E-2</v>
      </c>
      <c r="V88" s="82">
        <f>IF('Пр-во и Продажи'!U20&gt;0,('НА и ОС'!W116*'Пр-во и Продажи'!U20/'Пр-во и Продажи'!U22)/'Пр-во и Продажи'!U20*1000,0)</f>
        <v>1.9861111111111104E-2</v>
      </c>
      <c r="W88" s="82">
        <f>IF('Пр-во и Продажи'!V20&gt;0,('НА и ОС'!X116*'Пр-во и Продажи'!V20/'Пр-во и Продажи'!V22)/'Пр-во и Продажи'!V20*1000,0)</f>
        <v>1.8542531120331947E-2</v>
      </c>
      <c r="X88" s="82">
        <f>IF('Пр-во и Продажи'!W20&gt;0,('НА и ОС'!Y116*'Пр-во и Продажи'!W20/'Пр-во и Продажи'!W22)/'Пр-во и Продажи'!W20*1000,0)</f>
        <v>1.7264971023824852E-2</v>
      </c>
      <c r="Y88" s="82">
        <f>IF('Пр-во и Продажи'!X20&gt;0,('НА и ОС'!Z116*'Пр-во и Продажи'!X20/'Пр-во и Продажи'!X22)/'Пр-во и Продажи'!X20*1000,0)</f>
        <v>1.6191123188405793E-2</v>
      </c>
      <c r="AA88" s="149">
        <f>AVERAGE(F88:I88)</f>
        <v>0</v>
      </c>
      <c r="AB88" s="149">
        <f>AVERAGE(J88:M88)</f>
        <v>0</v>
      </c>
      <c r="AC88" s="149">
        <f>AVERAGE(N88:Q88)</f>
        <v>1.1529754932876834E-3</v>
      </c>
      <c r="AD88" s="149">
        <f>AVERAGE(R88:U88)</f>
        <v>2.2269266707391058E-2</v>
      </c>
      <c r="AE88" s="149">
        <f>AVERAGE(V88:Y88)</f>
        <v>1.7964934110918422E-2</v>
      </c>
    </row>
    <row r="89" spans="1:39" x14ac:dyDescent="0.2">
      <c r="C89" s="1" t="s">
        <v>184</v>
      </c>
      <c r="E89" s="80" t="s">
        <v>116</v>
      </c>
      <c r="F89" s="82">
        <f>IF('Пр-во и Продажи'!E20&gt;0,('НА и ОС'!G121*'Пр-во и Продажи'!E20/'Пр-во и Продажи'!E22)/'Пр-во и Продажи'!E20*1000,0)</f>
        <v>0</v>
      </c>
      <c r="G89" s="82">
        <f>IF('Пр-во и Продажи'!F20&gt;0,('НА и ОС'!H121*'Пр-во и Продажи'!F20/'Пр-во и Продажи'!F22)/'Пр-во и Продажи'!F20*1000,0)</f>
        <v>0</v>
      </c>
      <c r="H89" s="82">
        <f>IF('Пр-во и Продажи'!G20&gt;0,('НА и ОС'!I121*'Пр-во и Продажи'!G20/'Пр-во и Продажи'!G22)/'Пр-во и Продажи'!G20*1000,0)</f>
        <v>0</v>
      </c>
      <c r="I89" s="82">
        <f>IF('Пр-во и Продажи'!H20&gt;0,('НА и ОС'!J121*'Пр-во и Продажи'!H20/'Пр-во и Продажи'!H22)/'Пр-во и Продажи'!H20*1000,0)</f>
        <v>0</v>
      </c>
      <c r="J89" s="82">
        <f>IF('Пр-во и Продажи'!I20&gt;0,('НА и ОС'!K121*'Пр-во и Продажи'!I20/'Пр-во и Продажи'!I22)/'Пр-во и Продажи'!I20*1000,0)</f>
        <v>0</v>
      </c>
      <c r="K89" s="82">
        <f>IF('Пр-во и Продажи'!J20&gt;0,('НА и ОС'!L121*'Пр-во и Продажи'!J20/'Пр-во и Продажи'!J22)/'Пр-во и Продажи'!J20*1000,0)</f>
        <v>0</v>
      </c>
      <c r="L89" s="82">
        <f>IF('Пр-во и Продажи'!K20&gt;0,('НА и ОС'!M121*'Пр-во и Продажи'!K20/'Пр-во и Продажи'!K22)/'Пр-во и Продажи'!K20*1000,0)</f>
        <v>0</v>
      </c>
      <c r="M89" s="82">
        <f>IF('Пр-во и Продажи'!L20&gt;0,('НА и ОС'!N121*'Пр-во и Продажи'!L20/'Пр-во и Продажи'!L22)/'Пр-во и Продажи'!L20*1000,0)</f>
        <v>0</v>
      </c>
      <c r="N89" s="82">
        <f>IF('Пр-во и Продажи'!M20&gt;0,('НА и ОС'!O121*'Пр-во и Продажи'!M20/'Пр-во и Продажи'!M22)/'Пр-во и Продажи'!M20*1000,0)</f>
        <v>0</v>
      </c>
      <c r="O89" s="82">
        <f>IF('Пр-во и Продажи'!N20&gt;0,('НА и ОС'!P121*'Пр-во и Продажи'!N20/'Пр-во и Продажи'!N22)/'Пр-во и Продажи'!N20*1000,0)</f>
        <v>0</v>
      </c>
      <c r="P89" s="82">
        <f>IF('Пр-во и Продажи'!O20&gt;0,('НА и ОС'!Q121*'Пр-во и Продажи'!O20/'Пр-во и Продажи'!O22)/'Пр-во и Продажи'!O20*1000,0)</f>
        <v>0</v>
      </c>
      <c r="Q89" s="82">
        <f>IF('Пр-во и Продажи'!P20&gt;0,('НА и ОС'!R121*'Пр-во и Продажи'!P20/'Пр-во и Продажи'!P22)/'Пр-во и Продажи'!P20*1000,0)</f>
        <v>3.6434025587890801E-3</v>
      </c>
      <c r="R89" s="82">
        <f>IF('Пр-во и Продажи'!Q20&gt;0,('НА и ОС'!S121*'Пр-во и Продажи'!Q20/'Пр-во и Продажи'!Q22)/'Пр-во и Продажи'!Q20*1000,0)</f>
        <v>2.2762875312760632E-2</v>
      </c>
      <c r="S89" s="82">
        <f>IF('Пр-во и Продажи'!R20&gt;0,('НА и ОС'!T121*'Пр-во и Продажи'!R20/'Пр-во и Продажи'!R22)/'Пр-во и Продажи'!R20*1000,0)</f>
        <v>3.620910070532915E-2</v>
      </c>
      <c r="T89" s="82">
        <f>IF('Пр-во и Продажи'!S20&gt;0,('НА и ОС'!U121*'Пр-во и Продажи'!S20/'Пр-во и Продажи'!S22)/'Пр-во и Продажи'!S20*1000,0)</f>
        <v>3.3413623544062694E-2</v>
      </c>
      <c r="U89" s="82">
        <f>IF('Пр-во и Продажи'!T20&gt;0,('НА и ОС'!V121*'Пр-во и Продажи'!T20/'Пр-во и Продажи'!T22)/'Пр-во и Продажи'!T20*1000,0)</f>
        <v>3.0162164199102292E-2</v>
      </c>
      <c r="V89" s="82">
        <f>IF('Пр-во и Продажи'!U20&gt;0,('НА и ОС'!W121*'Пр-во и Продажи'!U20/'Пр-во и Продажи'!U22)/'Пр-во и Продажи'!U20*1000,0)</f>
        <v>2.992133838383838E-2</v>
      </c>
      <c r="W89" s="82">
        <f>IF('Пр-во и Продажи'!V20&gt;0,('НА и ОС'!X121*'Пр-во и Продажи'!V20/'Пр-во и Продажи'!V22)/'Пр-во и Продажи'!V20*1000,0)</f>
        <v>2.7564008864579402E-2</v>
      </c>
      <c r="X89" s="82">
        <f>IF('Пр-во и Продажи'!W20&gt;0,('НА и ОС'!Y121*'Пр-во и Продажи'!W20/'Пр-во и Продажи'!W22)/'Пр-во и Продажи'!W20*1000,0)</f>
        <v>2.5319579406427442E-2</v>
      </c>
      <c r="Y89" s="82">
        <f>IF('Пр-во и Продажи'!X20&gt;0,('НА и ОС'!Z121*'Пр-во и Продажи'!X20/'Пр-во и Продажи'!X22)/'Пр-во и Продажи'!X20*1000,0)</f>
        <v>2.3420928030303028E-2</v>
      </c>
      <c r="AA89" s="149">
        <f>AVERAGE(F89:I89)</f>
        <v>0</v>
      </c>
      <c r="AB89" s="149">
        <f>AVERAGE(J89:M89)</f>
        <v>0</v>
      </c>
      <c r="AC89" s="149">
        <f>AVERAGE(N89:Q89)</f>
        <v>9.1085063969727003E-4</v>
      </c>
      <c r="AD89" s="149">
        <f>AVERAGE(R89:U89)</f>
        <v>3.0636940940313693E-2</v>
      </c>
      <c r="AE89" s="149">
        <f>AVERAGE(V89:Y89)</f>
        <v>2.6556463671287063E-2</v>
      </c>
    </row>
    <row r="90" spans="1:39" s="27" customFormat="1" x14ac:dyDescent="0.2">
      <c r="C90" s="28" t="s">
        <v>42</v>
      </c>
      <c r="E90" s="80" t="s">
        <v>116</v>
      </c>
      <c r="F90" s="123">
        <f>SUM(F83:F89)</f>
        <v>207.46538642360275</v>
      </c>
      <c r="G90" s="123">
        <f t="shared" ref="G90:Y90" si="19">SUM(G83:G89)</f>
        <v>171.35918203675433</v>
      </c>
      <c r="H90" s="123">
        <f t="shared" si="19"/>
        <v>154.45082358882294</v>
      </c>
      <c r="I90" s="123">
        <f t="shared" si="19"/>
        <v>148.11068038064357</v>
      </c>
      <c r="J90" s="123">
        <f t="shared" si="19"/>
        <v>149.13587271892484</v>
      </c>
      <c r="K90" s="123">
        <f t="shared" si="19"/>
        <v>145.03912036936623</v>
      </c>
      <c r="L90" s="123">
        <f t="shared" si="19"/>
        <v>139.63024777008576</v>
      </c>
      <c r="M90" s="123">
        <f t="shared" si="19"/>
        <v>138.34615945245545</v>
      </c>
      <c r="N90" s="123">
        <f t="shared" si="19"/>
        <v>137.73282685041741</v>
      </c>
      <c r="O90" s="123">
        <f t="shared" si="19"/>
        <v>137.5725131497899</v>
      </c>
      <c r="P90" s="123">
        <f t="shared" si="19"/>
        <v>139.01674404165408</v>
      </c>
      <c r="Q90" s="123">
        <f t="shared" si="19"/>
        <v>139.88855655220391</v>
      </c>
      <c r="R90" s="123">
        <f t="shared" si="19"/>
        <v>140.75162857894966</v>
      </c>
      <c r="S90" s="123">
        <f t="shared" si="19"/>
        <v>141.81108252357126</v>
      </c>
      <c r="T90" s="123">
        <f t="shared" si="19"/>
        <v>142.84754980074214</v>
      </c>
      <c r="U90" s="123">
        <f t="shared" si="19"/>
        <v>143.72881904259495</v>
      </c>
      <c r="V90" s="123">
        <f t="shared" si="19"/>
        <v>145.54057144774086</v>
      </c>
      <c r="W90" s="123">
        <f t="shared" si="19"/>
        <v>146.68883912826433</v>
      </c>
      <c r="X90" s="123">
        <f t="shared" si="19"/>
        <v>147.86357371710474</v>
      </c>
      <c r="Y90" s="123">
        <f t="shared" si="19"/>
        <v>149.14598910391146</v>
      </c>
      <c r="AA90" s="150">
        <f>SUM(AA83:AA89)</f>
        <v>170.34651810745592</v>
      </c>
      <c r="AB90" s="150">
        <f>SUM(AB83:AB89)</f>
        <v>143.03785007770807</v>
      </c>
      <c r="AC90" s="150">
        <f>SUM(AC83:AC89)</f>
        <v>138.55266014851628</v>
      </c>
      <c r="AD90" s="150">
        <f>SUM(AD83:AD89)</f>
        <v>142.28476998646451</v>
      </c>
      <c r="AE90" s="150">
        <f>SUM(AE83:AE89)</f>
        <v>147.30974334925534</v>
      </c>
    </row>
    <row r="91" spans="1:39" x14ac:dyDescent="0.2">
      <c r="B91" s="36" t="s">
        <v>522</v>
      </c>
      <c r="E91" s="80"/>
      <c r="AA91" s="149"/>
      <c r="AB91" s="149"/>
      <c r="AC91" s="149"/>
      <c r="AD91" s="149"/>
      <c r="AE91" s="149"/>
    </row>
    <row r="92" spans="1:39" x14ac:dyDescent="0.2">
      <c r="B92" s="36"/>
      <c r="C92" s="1" t="s">
        <v>468</v>
      </c>
      <c r="E92" s="80" t="s">
        <v>116</v>
      </c>
      <c r="F92" s="82">
        <f>IF('Пр-во и Продажи'!E21&gt;0,(Персонал!E70*'Пр-во и Продажи'!E21/('Пр-во и Продажи'!E20+'Пр-во и Продажи'!E21))/'Пр-во и Продажи'!E21*1000,0)</f>
        <v>86.677139841688657</v>
      </c>
      <c r="G92" s="82">
        <f>IF('Пр-во и Продажи'!F21&gt;0,(Персонал!F70*'Пр-во и Продажи'!F21/('Пр-во и Продажи'!F20+'Пр-во и Продажи'!F21))/'Пр-во и Продажи'!F21*1000,0)</f>
        <v>54.126185679052298</v>
      </c>
      <c r="H92" s="82">
        <f>IF('Пр-во и Продажи'!G21&gt;0,(Персонал!G70*'Пр-во и Продажи'!G21/('Пр-во и Продажи'!G20+'Пр-во и Продажи'!G21))/'Пр-во и Продажи'!G21*1000,0)</f>
        <v>37.97130918804438</v>
      </c>
      <c r="I92" s="82">
        <f>IF('Пр-во и Продажи'!H21&gt;0,(Персонал!H70*'Пр-во и Продажи'!H21/('Пр-во и Продажи'!H20+'Пр-во и Продажи'!H21))/'Пр-во и Продажи'!H21*1000,0)</f>
        <v>30.828160247023586</v>
      </c>
      <c r="J92" s="82">
        <f>IF('Пр-во и Продажи'!I21&gt;0,(Персонал!I70*'Пр-во и Продажи'!I21/('Пр-во и Продажи'!I20+'Пр-во и Продажи'!I21))/'Пр-во и Продажи'!I21*1000,0)</f>
        <v>31.656307072426838</v>
      </c>
      <c r="K92" s="82">
        <f>IF('Пр-во и Продажи'!J21&gt;0,(Персонал!J70*'Пр-во и Продажи'!J21/('Пр-во и Продажи'!J20+'Пр-во и Продажи'!J21))/'Пр-во и Продажи'!J21*1000,0)</f>
        <v>26.052334577988805</v>
      </c>
      <c r="L92" s="82">
        <f>IF('Пр-во и Продажи'!K21&gt;0,(Персонал!K70*'Пр-во и Продажи'!K21/('Пр-во и Продажи'!K20+'Пр-во и Продажи'!K21))/'Пр-во и Продажи'!K21*1000,0)</f>
        <v>17.783321600291981</v>
      </c>
      <c r="M92" s="82">
        <f>IF('Пр-во и Продажи'!L21&gt;0,(Персонал!L70*'Пр-во и Продажи'!L21/('Пр-во и Продажи'!L20+'Пр-во и Продажи'!L21))/'Пр-во и Продажи'!L21*1000,0)</f>
        <v>14.818698823722313</v>
      </c>
      <c r="N92" s="82">
        <f>IF('Пр-во и Продажи'!M21&gt;0,(Персонал!M70*'Пр-во и Продажи'!M21/('Пр-во и Продажи'!M20+'Пр-во и Продажи'!M21))/'Пр-во и Продажи'!M21*1000,0)</f>
        <v>12.807797604389203</v>
      </c>
      <c r="O92" s="82">
        <f>IF('Пр-во и Продажи'!N21&gt;0,(Персонал!N70*'Пр-во и Продажи'!N21/('Пр-во и Продажи'!N20+'Пр-во и Продажи'!N21))/'Пр-во и Продажи'!N21*1000,0)</f>
        <v>11.156863613523223</v>
      </c>
      <c r="P92" s="82">
        <f>IF('Пр-во и Продажи'!O21&gt;0,(Персонал!O70*'Пр-во и Продажи'!O21/('Пр-во и Продажи'!O20+'Пр-во и Продажи'!O21))/'Пр-во и Продажи'!O21*1000,0)</f>
        <v>10.607811860495543</v>
      </c>
      <c r="Q92" s="82">
        <f>IF('Пр-во и Продажи'!P21&gt;0,(Персонал!P70*'Пр-во и Продажи'!P21/('Пр-во и Продажи'!P20+'Пр-во и Продажи'!P21))/'Пр-во и Продажи'!P21*1000,0)</f>
        <v>9.7927302087303101</v>
      </c>
      <c r="R92" s="82">
        <f>IF('Пр-во и Продажи'!Q21&gt;0,(Персонал!Q70*'Пр-во и Продажи'!Q21/('Пр-во и Продажи'!Q20+'Пр-во и Продажи'!Q21))/'Пр-во и Продажи'!Q21*1000,0)</f>
        <v>9.1762615317047285</v>
      </c>
      <c r="S92" s="82">
        <f>IF('Пр-во и Продажи'!R21&gt;0,(Персонал!R70*'Пр-во и Продажи'!R21/('Пр-во и Продажи'!R20+'Пр-во и Продажи'!R21))/'Пр-во и Продажи'!R21*1000,0)</f>
        <v>8.7283392182761581</v>
      </c>
      <c r="T92" s="82">
        <f>IF('Пр-во и Продажи'!S21&gt;0,(Персонал!S70*'Пр-во и Продажи'!S21/('Пр-во и Продажи'!S20+'Пр-во и Продажи'!S21))/'Пр-во и Продажи'!S21*1000,0)</f>
        <v>8.2587657649260784</v>
      </c>
      <c r="U92" s="82">
        <f>IF('Пр-во и Продажи'!T21&gt;0,(Персонал!T70*'Пр-во и Продажи'!T21/('Пр-во и Продажи'!T20+'Пр-во и Продажи'!T21))/'Пр-во и Продажи'!T21*1000,0)</f>
        <v>7.6454738538241189</v>
      </c>
      <c r="V92" s="82">
        <f>IF('Пр-во и Продажи'!U21&gt;0,(Персонал!U70*'Пр-во и Продажи'!U21/('Пр-во и Продажи'!U20+'Пр-во и Продажи'!U21))/'Пр-во и Продажи'!U21*1000,0)</f>
        <v>7.7794306096563428</v>
      </c>
      <c r="W92" s="82">
        <f>IF('Пр-во и Продажи'!V21&gt;0,(Персонал!V70*'Пр-во и Продажи'!V21/('Пр-во и Продажи'!V20+'Пр-во и Продажи'!V21))/'Пр-во и Продажи'!V21*1000,0)</f>
        <v>7.3520865614525324</v>
      </c>
      <c r="X92" s="82">
        <f>IF('Пр-во и Продажи'!W21&gt;0,(Персонал!W70*'Пр-во и Продажи'!W21/('Пр-во и Продажи'!W20+'Пр-во и Продажи'!W21))/'Пр-во и Продажи'!W21*1000,0)</f>
        <v>6.9295458660572633</v>
      </c>
      <c r="Y92" s="82">
        <f>IF('Пр-во и Продажи'!X21&gt;0,(Персонал!X70*'Пр-во и Продажи'!X21/('Пр-во и Продажи'!X20+'Пр-во и Продажи'!X21))/'Пр-во и Продажи'!X21*1000,0)</f>
        <v>6.5782931283945043</v>
      </c>
      <c r="AA92" s="149">
        <f t="shared" si="14"/>
        <v>52.400698738952229</v>
      </c>
      <c r="AB92" s="149">
        <f t="shared" si="15"/>
        <v>22.577665518607485</v>
      </c>
      <c r="AC92" s="149">
        <f t="shared" si="16"/>
        <v>11.09130082178457</v>
      </c>
      <c r="AD92" s="149">
        <f t="shared" si="17"/>
        <v>8.4522100921827708</v>
      </c>
      <c r="AE92" s="149">
        <f t="shared" si="18"/>
        <v>7.1598390413901605</v>
      </c>
    </row>
    <row r="93" spans="1:39" x14ac:dyDescent="0.2">
      <c r="C93" s="1" t="s">
        <v>169</v>
      </c>
      <c r="E93" s="80" t="s">
        <v>116</v>
      </c>
      <c r="F93" s="82">
        <f>IF('Пр-во и Продажи'!E21&gt;0,((Затраты!F28-Затраты!F29)/'Пр-во и Продажи'!E21)*1000,0)</f>
        <v>91.090909090909079</v>
      </c>
      <c r="G93" s="82">
        <f>IF('Пр-во и Продажи'!F21&gt;0,((Затраты!G28-Затраты!G29)/'Пр-во и Продажи'!F21)*1000,0)</f>
        <v>92.752826390978825</v>
      </c>
      <c r="H93" s="82">
        <f>IF('Пр-во и Продажи'!G21&gt;0,((Затраты!H28-Затраты!H29)/'Пр-во и Продажи'!G21)*1000,0)</f>
        <v>94.445064709247148</v>
      </c>
      <c r="I93" s="82">
        <f>IF('Пр-во и Продажи'!H21&gt;0,((Затраты!I28-Затраты!I29)/'Пр-во и Продажи'!H21)*1000,0)</f>
        <v>96.16817724059598</v>
      </c>
      <c r="J93" s="82">
        <f>IF('Пр-во и Продажи'!I21&gt;0,((Затраты!J28-Затраты!J29)/'Пр-во и Продажи'!I21)*1000,0)</f>
        <v>97.979609508314567</v>
      </c>
      <c r="K93" s="82">
        <f>IF('Пр-во и Продажи'!J21&gt;0,((Затраты!K28-Затраты!K29)/'Пр-во и Продажи'!J21)*1000,0)</f>
        <v>99.825162073980792</v>
      </c>
      <c r="L93" s="82">
        <f>IF('Пр-во и Продажи'!K21&gt;0,((Затраты!L28-Затраты!L29)/'Пр-во и Продажи'!K21)*1000,0)</f>
        <v>101.70547763053594</v>
      </c>
      <c r="M93" s="82">
        <f>IF('Пр-во и Продажи'!L21&gt;0,((Затраты!M28-Затраты!M29)/'Пр-во и Продажи'!L21)*1000,0)</f>
        <v>103.62121097674219</v>
      </c>
      <c r="N93" s="82">
        <f>IF('Пр-во и Продажи'!M21&gt;0,((Затраты!N28-Затраты!N29)/'Пр-во и Продажи'!M21)*1000,0)</f>
        <v>105.14173268642509</v>
      </c>
      <c r="O93" s="82">
        <f>IF('Пр-во и Продажи'!N21&gt;0,((Затраты!O28-Затраты!O29)/'Пр-во и Продажи'!N21)*1000,0)</f>
        <v>106.68456629777201</v>
      </c>
      <c r="P93" s="82">
        <f>IF('Пр-во и Продажи'!O21&gt;0,((Затраты!P28-Затраты!P29)/'Пр-во и Продажи'!O21)*1000,0)</f>
        <v>108.25003921219562</v>
      </c>
      <c r="Q93" s="82">
        <f>IF('Пр-во и Продажи'!P21&gt;0,((Затраты!Q28-Затраты!Q29)/'Пр-во и Продажи'!P21)*1000,0)</f>
        <v>109.83848363534671</v>
      </c>
      <c r="R93" s="82">
        <f>IF('Пр-во и Продажи'!Q21&gt;0,((Затраты!R28-Затраты!R29)/'Пр-во и Продажи'!Q21)*1000,0)</f>
        <v>111.18644725584988</v>
      </c>
      <c r="S93" s="82">
        <f>IF('Пр-во и Продажи'!R21&gt;0,((Затраты!S28-Затраты!S29)/'Пр-во и Продажи'!R21)*1000,0)</f>
        <v>112.55095340190572</v>
      </c>
      <c r="T93" s="82">
        <f>IF('Пр-во и Продажи'!S21&gt;0,((Затраты!T28-Затраты!T29)/'Пр-во и Продажи'!S21)*1000,0)</f>
        <v>113.93220508726577</v>
      </c>
      <c r="U93" s="82">
        <f>IF('Пр-во и Продажи'!T21&gt;0,((Затраты!U28-Затраты!U29)/'Пр-во и Продажи'!T21)*1000,0)</f>
        <v>115.33040781711405</v>
      </c>
      <c r="V93" s="82">
        <f>IF('Пр-во и Продажи'!U21&gt;0,((Затраты!V28-Затраты!V29)/'Пр-во и Продажи'!U21)*1000,0)</f>
        <v>116.7457696186424</v>
      </c>
      <c r="W93" s="82">
        <f>IF('Пр-во и Продажи'!V21&gt;0,((Затраты!W28-Затраты!W29)/'Пр-во и Продажи'!V21)*1000,0)</f>
        <v>118.17850107200103</v>
      </c>
      <c r="X93" s="82">
        <f>IF('Пр-во и Продажи'!W21&gt;0,((Затраты!X28-Затраты!X29)/'Пр-во и Продажи'!W21)*1000,0)</f>
        <v>119.62881534162909</v>
      </c>
      <c r="Y93" s="82">
        <f>IF('Пр-во и Продажи'!X21&gt;0,((Затраты!Y28-Затраты!Y29)/'Пр-во и Продажи'!X21)*1000,0)</f>
        <v>121.09692820796982</v>
      </c>
      <c r="AA93" s="149">
        <f t="shared" si="14"/>
        <v>93.614244357932762</v>
      </c>
      <c r="AB93" s="149">
        <f t="shared" si="15"/>
        <v>100.78286504739337</v>
      </c>
      <c r="AC93" s="149">
        <f t="shared" si="16"/>
        <v>107.47870545793486</v>
      </c>
      <c r="AD93" s="149">
        <f t="shared" si="17"/>
        <v>113.25000339053386</v>
      </c>
      <c r="AE93" s="149">
        <f t="shared" si="18"/>
        <v>118.91250356006059</v>
      </c>
    </row>
    <row r="94" spans="1:39" x14ac:dyDescent="0.2">
      <c r="C94" s="1" t="s">
        <v>170</v>
      </c>
      <c r="E94" s="80" t="s">
        <v>116</v>
      </c>
      <c r="F94" s="82">
        <f>IF('Пр-во и Продажи'!E21&gt;0,((Затраты!F58-Затраты!F59)*('Пр-во и Продажи'!E21/('Пр-во и Продажи'!E20+'Пр-во и Продажи'!E21))/'Пр-во и Продажи'!E21)*1000,0)</f>
        <v>3.7107219956824169</v>
      </c>
      <c r="G94" s="82">
        <f>IF('Пр-во и Продажи'!F21&gt;0,((Затраты!G58-Затраты!G59)*('Пр-во и Продажи'!F21/('Пр-во и Продажи'!F20+'Пр-во и Продажи'!F21))/'Пр-во и Продажи'!F21)*1000,0)</f>
        <v>2.3171879933796524</v>
      </c>
      <c r="H94" s="82">
        <f>IF('Пр-во и Продажи'!G21&gt;0,((Затраты!H58-Затраты!H59)*('Пр-во и Продажи'!G21/('Пр-во и Продажи'!G20+'Пр-во и Продажи'!G21))/'Пр-во и Продажи'!G21)*1000,0)</f>
        <v>1.6255840059591555</v>
      </c>
      <c r="I94" s="82">
        <f>IF('Пр-во и Продажи'!H21&gt;0,((Затраты!I58-Затраты!I59)*('Пр-во и Продажи'!H21/('Пр-во и Продажи'!H20+'Пр-во и Продажи'!H21))/'Пр-во и Продажи'!H21)*1000,0)</f>
        <v>1.3197797311262098</v>
      </c>
      <c r="J94" s="82">
        <f>IF('Пр-во и Продажи'!I21&gt;0,((Затраты!J58-Затраты!J59)*('Пр-во и Продажи'!I21/('Пр-во и Продажи'!I20+'Пр-во и Продажи'!I21))/'Пр-во и Продажи'!I21)*1000,0)</f>
        <v>0.89790241094865653</v>
      </c>
      <c r="K94" s="82">
        <f>IF('Пр-во и Продажи'!J21&gt;0,((Затраты!K58-Затраты!K59)*('Пр-во и Продажи'!J21/('Пр-во и Продажи'!J20+'Пр-во и Продажи'!J21))/'Пр-во и Продажи'!J21)*1000,0)</f>
        <v>0.7220797954490713</v>
      </c>
      <c r="L94" s="82">
        <f>IF('Пр-во и Продажи'!K21&gt;0,((Затраты!L58-Затраты!L59)*('Пр-во и Продажи'!K21/('Пр-во и Продажи'!K20+'Пр-во и Продажи'!K21))/'Пр-во и Продажи'!K21)*1000,0)</f>
        <v>0.49289161342158661</v>
      </c>
      <c r="M94" s="82">
        <f>IF('Пр-во и Продажи'!L21&gt;0,((Затраты!M58-Затраты!M59)*('Пр-во и Продажи'!L21/('Пр-во и Продажи'!L20+'Пр-во и Продажи'!L21))/'Пр-во и Продажи'!L21)*1000,0)</f>
        <v>0.41072261617948441</v>
      </c>
      <c r="N94" s="82">
        <f>IF('Пр-во и Продажи'!M21&gt;0,((Затраты!N58-Затраты!N59)*('Пр-во и Продажи'!M21/('Пр-во и Продажи'!M20+'Пр-во и Продажи'!M21))/'Пр-во и Продажи'!M21)*1000,0)</f>
        <v>0.3549874521473465</v>
      </c>
      <c r="O94" s="82">
        <f>IF('Пр-во и Продажи'!N21&gt;0,((Затраты!O58-Затраты!O59)*('Пр-во и Продажи'!N21/('Пр-во и Продажи'!N20+'Пр-во и Продажи'!N21))/'Пр-во и Продажи'!N21)*1000,0)</f>
        <v>0.30922932345236137</v>
      </c>
      <c r="P94" s="82">
        <f>IF('Пр-во и Продажи'!O21&gt;0,((Затраты!P58-Затраты!P59)*('Пр-во и Продажи'!O21/('Пр-во и Продажи'!O20+'Пр-во и Продажи'!O21))/'Пр-во и Продажи'!O21)*1000,0)</f>
        <v>0.28744876771942163</v>
      </c>
      <c r="Q94" s="82">
        <f>IF('Пр-во и Продажи'!P21&gt;0,((Затраты!Q58-Затраты!Q59)*('Пр-во и Продажи'!P21/('Пр-во и Продажи'!P20+'Пр-во и Продажи'!P21))/'Пр-во и Продажи'!P21)*1000,0)</f>
        <v>0.26536181713320706</v>
      </c>
      <c r="R94" s="82">
        <f>IF('Пр-во и Продажи'!Q21&gt;0,((Затраты!R58-Затраты!R59)*('Пр-во и Продажи'!Q21/('Пр-во и Продажи'!Q20+'Пр-во и Продажи'!Q21))/'Пр-во и Продажи'!Q21)*1000,0)</f>
        <v>0.24865684876847324</v>
      </c>
      <c r="S94" s="82">
        <f>IF('Пр-во и Продажи'!R21&gt;0,((Затраты!S58-Затраты!S59)*('Пр-во и Продажи'!R21/('Пр-во и Продажи'!R20+'Пр-во и Продажи'!R21))/'Пр-во и Продажи'!R21)*1000,0)</f>
        <v>0.23651912246616497</v>
      </c>
      <c r="T94" s="82">
        <f>IF('Пр-во и Продажи'!S21&gt;0,((Затраты!T58-Затраты!T59)*('Пр-во и Продажи'!S21/('Пр-во и Продажи'!S20+'Пр-во и Продажи'!S21))/'Пр-во и Продажи'!S21)*1000,0)</f>
        <v>0.22379469708095379</v>
      </c>
      <c r="U94" s="82">
        <f>IF('Пр-во и Продажи'!T21&gt;0,((Затраты!U58-Затраты!U59)*('Пр-во и Продажи'!T21/('Пр-во и Продажи'!T20+'Пр-во и Продажи'!T21))/'Пр-во и Продажи'!T21)*1000,0)</f>
        <v>0.20717581220469883</v>
      </c>
      <c r="V94" s="82">
        <f>IF('Пр-во и Продажи'!U21&gt;0,((Затраты!V58-Затраты!V59)*('Пр-во и Продажи'!U21/('Пр-во и Продажи'!U20+'Пр-во и Продажи'!U21))/'Пр-во и Продажи'!U21)*1000,0)</f>
        <v>0.21080575067816132</v>
      </c>
      <c r="W94" s="82">
        <f>IF('Пр-во и Продажи'!V21&gt;0,((Затраты!W58-Затраты!W59)*('Пр-во и Продажи'!V21/('Пр-во и Продажи'!V20+'Пр-во и Продажи'!V21))/'Пр-во и Продажи'!V21)*1000,0)</f>
        <v>0.19922565087398963</v>
      </c>
      <c r="X94" s="82">
        <f>IF('Пр-во и Продажи'!W21&gt;0,((Затраты!X58-Затраты!X59)*('Пр-во и Продажи'!W21/('Пр-во и Продажи'!W20+'Пр-во и Продажи'!W21))/'Пр-во и Продажи'!W21)*1000,0)</f>
        <v>0.18777571154625688</v>
      </c>
      <c r="Y94" s="82">
        <f>IF('Пр-во и Продажи'!X21&gt;0,((Затраты!Y58-Затраты!Y59)*('Пр-во и Продажи'!X21/('Пр-во и Продажи'!X20+'Пр-во и Продажи'!X21))/'Пр-во и Продажи'!X21)*1000,0)</f>
        <v>0.17825752175112636</v>
      </c>
      <c r="AA94" s="149">
        <f t="shared" si="14"/>
        <v>2.2433184315368586</v>
      </c>
      <c r="AB94" s="149">
        <f t="shared" si="15"/>
        <v>0.6308991089996997</v>
      </c>
      <c r="AC94" s="149">
        <f t="shared" si="16"/>
        <v>0.30425684011308418</v>
      </c>
      <c r="AD94" s="149">
        <f t="shared" si="17"/>
        <v>0.2290366201300727</v>
      </c>
      <c r="AE94" s="149">
        <f t="shared" si="18"/>
        <v>0.19401615871238354</v>
      </c>
    </row>
    <row r="95" spans="1:39" x14ac:dyDescent="0.2">
      <c r="C95" s="1" t="s">
        <v>171</v>
      </c>
      <c r="E95" s="80" t="s">
        <v>116</v>
      </c>
      <c r="F95" s="82">
        <f>IF('Пр-во и Продажи'!E21&gt;0,((Затраты!F67-Затраты!F68)*('Пр-во и Продажи'!E21/('Пр-во и Продажи'!E20+'Пр-во и Продажи'!E21))/'Пр-во и Продажи'!E21)*1000,0)</f>
        <v>0</v>
      </c>
      <c r="G95" s="82">
        <f>IF('Пр-во и Продажи'!F21&gt;0,((Затраты!G67-Затраты!G68)*('Пр-во и Продажи'!F21/('Пр-во и Продажи'!F20+'Пр-во и Продажи'!F21))/'Пр-во и Продажи'!F21)*1000,0)</f>
        <v>0</v>
      </c>
      <c r="H95" s="82">
        <f>IF('Пр-во и Продажи'!G21&gt;0,((Затраты!H67-Затраты!H68)*('Пр-во и Продажи'!G21/('Пр-во и Продажи'!G20+'Пр-во и Продажи'!G21))/'Пр-во и Продажи'!G21)*1000,0)</f>
        <v>0</v>
      </c>
      <c r="I95" s="82">
        <f>IF('Пр-во и Продажи'!H21&gt;0,((Затраты!I67-Затраты!I68)*('Пр-во и Продажи'!H21/('Пр-во и Продажи'!H20+'Пр-во и Продажи'!H21))/'Пр-во и Продажи'!H21)*1000,0)</f>
        <v>0</v>
      </c>
      <c r="J95" s="82">
        <f>IF('Пр-во и Продажи'!I21&gt;0,((Затраты!J67-Затраты!J68)*('Пр-во и Продажи'!I21/('Пр-во и Продажи'!I20+'Пр-во и Продажи'!I21))/'Пр-во и Продажи'!I21)*1000,0)</f>
        <v>0</v>
      </c>
      <c r="K95" s="82">
        <f>IF('Пр-во и Продажи'!J21&gt;0,((Затраты!K67-Затраты!K68)*('Пр-во и Продажи'!J21/('Пр-во и Продажи'!J20+'Пр-во и Продажи'!J21))/'Пр-во и Продажи'!J21)*1000,0)</f>
        <v>0</v>
      </c>
      <c r="L95" s="82">
        <f>IF('Пр-во и Продажи'!K21&gt;0,((Затраты!L67-Затраты!L68)*('Пр-во и Продажи'!K21/('Пр-во и Продажи'!K20+'Пр-во и Продажи'!K21))/'Пр-во и Продажи'!K21)*1000,0)</f>
        <v>0</v>
      </c>
      <c r="M95" s="82">
        <f>IF('Пр-во и Продажи'!L21&gt;0,((Затраты!M67-Затраты!M68)*('Пр-во и Продажи'!L21/('Пр-во и Продажи'!L20+'Пр-во и Продажи'!L21))/'Пр-во и Продажи'!L21)*1000,0)</f>
        <v>0</v>
      </c>
      <c r="N95" s="82">
        <f>IF('Пр-во и Продажи'!M21&gt;0,((Затраты!N67-Затраты!N68)*('Пр-во и Продажи'!M21/('Пр-во и Продажи'!M20+'Пр-во и Продажи'!M21))/'Пр-во и Продажи'!M21)*1000,0)</f>
        <v>0</v>
      </c>
      <c r="O95" s="82">
        <f>IF('Пр-во и Продажи'!N21&gt;0,((Затраты!O67-Затраты!O68)*('Пр-во и Продажи'!N21/('Пр-во и Продажи'!N20+'Пр-во и Продажи'!N21))/'Пр-во и Продажи'!N21)*1000,0)</f>
        <v>0</v>
      </c>
      <c r="P95" s="82">
        <f>IF('Пр-во и Продажи'!O21&gt;0,((Затраты!P67-Затраты!P68)*('Пр-во и Продажи'!O21/('Пр-во и Продажи'!O20+'Пр-во и Продажи'!O21))/'Пр-во и Продажи'!O21)*1000,0)</f>
        <v>0</v>
      </c>
      <c r="Q95" s="82">
        <f>IF('Пр-во и Продажи'!P21&gt;0,((Затраты!Q67-Затраты!Q68)*('Пр-во и Продажи'!P21/('Пр-во и Продажи'!P20+'Пр-во и Продажи'!P21))/'Пр-во и Продажи'!P21)*1000,0)</f>
        <v>0</v>
      </c>
      <c r="R95" s="82">
        <f>IF('Пр-во и Продажи'!Q21&gt;0,((Затраты!R67-Затраты!R68)*('Пр-во и Продажи'!Q21/('Пр-во и Продажи'!Q20+'Пр-во и Продажи'!Q21))/'Пр-во и Продажи'!Q21)*1000,0)</f>
        <v>0</v>
      </c>
      <c r="S95" s="82">
        <f>IF('Пр-во и Продажи'!R21&gt;0,((Затраты!S67-Затраты!S68)*('Пр-во и Продажи'!R21/('Пр-во и Продажи'!R20+'Пр-во и Продажи'!R21))/'Пр-во и Продажи'!R21)*1000,0)</f>
        <v>0</v>
      </c>
      <c r="T95" s="82">
        <f>IF('Пр-во и Продажи'!S21&gt;0,((Затраты!T67-Затраты!T68)*('Пр-во и Продажи'!S21/('Пр-во и Продажи'!S20+'Пр-во и Продажи'!S21))/'Пр-во и Продажи'!S21)*1000,0)</f>
        <v>0</v>
      </c>
      <c r="U95" s="82">
        <f>IF('Пр-во и Продажи'!T21&gt;0,((Затраты!U67-Затраты!U68)*('Пр-во и Продажи'!T21/('Пр-во и Продажи'!T20+'Пр-во и Продажи'!T21))/'Пр-во и Продажи'!T21)*1000,0)</f>
        <v>0</v>
      </c>
      <c r="V95" s="82">
        <f>IF('Пр-во и Продажи'!U21&gt;0,((Затраты!V67-Затраты!V68)*('Пр-во и Продажи'!U21/('Пр-во и Продажи'!U20+'Пр-во и Продажи'!U21))/'Пр-во и Продажи'!U21)*1000,0)</f>
        <v>0</v>
      </c>
      <c r="W95" s="82">
        <f>IF('Пр-во и Продажи'!V21&gt;0,((Затраты!W67-Затраты!W68)*('Пр-во и Продажи'!V21/('Пр-во и Продажи'!V20+'Пр-во и Продажи'!V21))/'Пр-во и Продажи'!V21)*1000,0)</f>
        <v>0</v>
      </c>
      <c r="X95" s="82">
        <f>IF('Пр-во и Продажи'!W21&gt;0,((Затраты!X67-Затраты!X68)*('Пр-во и Продажи'!W21/('Пр-во и Продажи'!W20+'Пр-во и Продажи'!W21))/'Пр-во и Продажи'!W21)*1000,0)</f>
        <v>0</v>
      </c>
      <c r="Y95" s="82">
        <f>IF('Пр-во и Продажи'!X21&gt;0,((Затраты!Y67-Затраты!Y68)*('Пр-во и Продажи'!X21/('Пр-во и Продажи'!X20+'Пр-во и Продажи'!X21))/'Пр-во и Продажи'!X21)*1000,0)</f>
        <v>0</v>
      </c>
      <c r="AA95" s="149">
        <f t="shared" si="14"/>
        <v>0</v>
      </c>
      <c r="AB95" s="149">
        <f t="shared" si="15"/>
        <v>0</v>
      </c>
      <c r="AC95" s="149">
        <f t="shared" si="16"/>
        <v>0</v>
      </c>
      <c r="AD95" s="149">
        <f t="shared" si="17"/>
        <v>0</v>
      </c>
      <c r="AE95" s="149">
        <f t="shared" si="18"/>
        <v>0</v>
      </c>
    </row>
    <row r="96" spans="1:39" x14ac:dyDescent="0.2">
      <c r="C96" s="1" t="s">
        <v>172</v>
      </c>
      <c r="E96" s="80" t="s">
        <v>116</v>
      </c>
      <c r="F96" s="82">
        <f>IF('Пр-во и Продажи'!E21&gt;0,((Затраты!F78-Затраты!F79)*('Пр-во и Продажи'!E21/('Пр-во и Продажи'!E20+'Пр-во и Продажи'!E21))/'Пр-во и Продажи'!E21)*1000,0)</f>
        <v>10.913888222595345</v>
      </c>
      <c r="G96" s="82">
        <f>IF('Пр-во и Продажи'!F21&gt;0,((Затраты!G78-Затраты!G79)*('Пр-во и Продажи'!F21/('Пр-во и Продажи'!F20+'Пр-во и Продажи'!F21))/'Пр-во и Продажи'!F21)*1000,0)</f>
        <v>6.8152588040578008</v>
      </c>
      <c r="H96" s="82">
        <f>IF('Пр-во и Продажи'!G21&gt;0,((Затраты!H78-Затраты!H79)*('Пр-во и Продажи'!G21/('Пр-во и Продажи'!G20+'Пр-во и Продажи'!G21))/'Пр-во и Продажи'!G21)*1000,0)</f>
        <v>4.7811294292916342</v>
      </c>
      <c r="I96" s="82">
        <f>IF('Пр-во и Продажи'!H21&gt;0,((Затраты!I78-Затраты!I79)*('Пр-во и Продажи'!H21/('Пр-во и Продажи'!H20+'Пр-во и Продажи'!H21))/'Пр-во и Продажи'!H21)*1000,0)</f>
        <v>3.8817050915476754</v>
      </c>
      <c r="J96" s="82">
        <f>IF('Пр-во и Продажи'!I21&gt;0,((Затраты!J78-Затраты!J79)*('Пр-во и Продажи'!I21/('Пр-во и Продажи'!I20+'Пр-во и Продажи'!I21))/'Пр-во и Продажи'!I21)*1000,0)</f>
        <v>2.3894596588929082</v>
      </c>
      <c r="K96" s="82">
        <f>IF('Пр-во и Продажи'!J21&gt;0,((Затраты!K78-Затраты!K79)*('Пр-во и Продажи'!J21/('Пр-во и Продажи'!J20+'Пр-во и Продажи'!J21))/'Пр-во и Продажи'!J21)*1000,0)</f>
        <v>1.9215680019216024</v>
      </c>
      <c r="L96" s="82">
        <f>IF('Пр-во и Продажи'!K21&gt;0,((Затраты!L78-Затраты!L79)*('Пр-во и Продажи'!K21/('Пр-во и Продажи'!K20+'Пр-во и Продажи'!K21))/'Пр-во и Продажи'!K21)*1000,0)</f>
        <v>2.8194469546358212</v>
      </c>
      <c r="M96" s="82">
        <f>IF('Пр-во и Продажи'!L21&gt;0,((Затраты!M78-Затраты!M79)*('Пр-во и Продажи'!L21/('Пр-во и Продажи'!L20+'Пр-во и Продажи'!L21))/'Пр-во и Продажи'!L21)*1000,0)</f>
        <v>2.3494224650091975</v>
      </c>
      <c r="N96" s="82">
        <f>IF('Пр-во и Продажи'!M21&gt;0,((Затраты!N78-Затраты!N79)*('Пр-во и Продажи'!M21/('Пр-во и Продажи'!M20+'Пр-во и Продажи'!M21))/'Пр-во и Продажи'!M21)*1000,0)</f>
        <v>2.0306052357898197</v>
      </c>
      <c r="O96" s="82">
        <f>IF('Пр-во и Продажи'!N21&gt;0,((Затраты!O78-Затраты!O79)*('Пр-во и Продажи'!N21/('Пр-во и Продажи'!N20+'Пр-во и Продажи'!N21))/'Пр-во и Продажи'!N21)*1000,0)</f>
        <v>1.7688588130756613</v>
      </c>
      <c r="P96" s="82">
        <f>IF('Пр-во и Продажи'!O21&gt;0,((Затраты!P78-Затраты!P79)*('Пр-во и Продажи'!O21/('Пр-во и Продажи'!O20+'Пр-во и Продажи'!O21))/'Пр-во и Продажи'!O21)*1000,0)</f>
        <v>1.9594117647344875</v>
      </c>
      <c r="Q96" s="82">
        <f>IF('Пр-во и Продажи'!P21&gt;0,((Затраты!Q78-Затраты!Q79)*('Пр-во и Продажи'!P21/('Пр-во и Продажи'!P20+'Пр-во и Продажи'!P21))/'Пр-во и Продажи'!P21)*1000,0)</f>
        <v>1.8088547414113567</v>
      </c>
      <c r="R96" s="82">
        <f>IF('Пр-во и Продажи'!Q21&gt;0,((Затраты!R78-Затраты!R79)*('Пр-во и Продажи'!Q21/('Пр-во и Продажи'!Q20+'Пр-во и Продажи'!Q21))/'Пр-во и Продажи'!Q21)*1000,0)</f>
        <v>1.6949843226822479</v>
      </c>
      <c r="S96" s="82">
        <f>IF('Пр-во и Продажи'!R21&gt;0,((Затраты!S78-Затраты!S79)*('Пр-во и Продажи'!R21/('Пр-во и Продажи'!R20+'Пр-во и Продажи'!R21))/'Пр-во и Продажи'!R21)*1000,0)</f>
        <v>1.6122467833893872</v>
      </c>
      <c r="T96" s="82">
        <f>IF('Пр-во и Продажи'!S21&gt;0,((Затраты!T78-Затраты!T79)*('Пр-во и Продажи'!S21/('Пр-во и Продажи'!S20+'Пр-во и Продажи'!S21))/'Пр-во и Продажи'!S21)*1000,0)</f>
        <v>1.5255099746109777</v>
      </c>
      <c r="U96" s="82">
        <f>IF('Пр-во и Продажи'!T21&gt;0,((Затраты!U78-Затраты!U79)*('Пр-во и Продажи'!T21/('Пр-во и Продажи'!T20+'Пр-во и Продажи'!T21))/'Пр-во и Продажи'!T21)*1000,0)</f>
        <v>1.4122263491438927</v>
      </c>
      <c r="V96" s="82">
        <f>IF('Пр-во и Продажи'!U21&gt;0,((Затраты!V78-Затраты!V79)*('Пр-во и Продажи'!U21/('Пр-во и Продажи'!U20+'Пр-во и Продажи'!U21))/'Пр-во и Продажи'!U21)*1000,0)</f>
        <v>1.4369700424517284</v>
      </c>
      <c r="W96" s="82">
        <f>IF('Пр-во и Продажи'!V21&gt;0,((Затраты!W78-Затраты!W79)*('Пр-во и Продажи'!V21/('Пр-во и Продажи'!V20+'Пр-во и Продажи'!V21))/'Пр-во и Продажи'!V21)*1000,0)</f>
        <v>1.3580335976267455</v>
      </c>
      <c r="X96" s="82">
        <f>IF('Пр-во и Продажи'!W21&gt;0,((Затраты!X78-Затраты!X79)*('Пр-во и Продажи'!W21/('Пр-во и Продажи'!W20+'Пр-во и Продажи'!W21))/'Пр-во и Продажи'!W21)*1000,0)</f>
        <v>1.2799843994957083</v>
      </c>
      <c r="Y96" s="82">
        <f>IF('Пр-во и Продажи'!X21&gt;0,((Затраты!Y78-Затраты!Y79)*('Пр-во и Продажи'!X21/('Пр-во и Продажи'!X20+'Пр-во и Продажи'!X21))/'Пр-во и Продажи'!X21)*1000,0)</f>
        <v>1.2151030879092248</v>
      </c>
      <c r="AA96" s="149">
        <f t="shared" si="14"/>
        <v>6.597995386873114</v>
      </c>
      <c r="AB96" s="149">
        <f t="shared" si="15"/>
        <v>2.3699742701148825</v>
      </c>
      <c r="AC96" s="149">
        <f t="shared" si="16"/>
        <v>1.8919326387528312</v>
      </c>
      <c r="AD96" s="149">
        <f>AVERAGE(R96:U96)</f>
        <v>1.5612418574566265</v>
      </c>
      <c r="AE96" s="149">
        <f t="shared" si="18"/>
        <v>1.3225227818708518</v>
      </c>
    </row>
    <row r="97" spans="1:31" x14ac:dyDescent="0.2">
      <c r="C97" s="1" t="s">
        <v>154</v>
      </c>
      <c r="E97" s="80" t="s">
        <v>116</v>
      </c>
      <c r="F97" s="82">
        <f>IF('Пр-во и Продажи'!E21&gt;0,('НА и ОС'!G116*'Пр-во и Продажи'!E21/'Пр-во и Продажи'!E22)/'Пр-во и Продажи'!E21*1000,0)</f>
        <v>0</v>
      </c>
      <c r="G97" s="82">
        <f>IF('Пр-во и Продажи'!F21&gt;0,('НА и ОС'!H116*'Пр-во и Продажи'!F21/'Пр-во и Продажи'!F22)/'Пр-во и Продажи'!F21*1000,0)</f>
        <v>0</v>
      </c>
      <c r="H97" s="82">
        <f>IF('Пр-во и Продажи'!G21&gt;0,('НА и ОС'!I116*'Пр-во и Продажи'!G21/'Пр-во и Продажи'!G22)/'Пр-во и Продажи'!G21*1000,0)</f>
        <v>0</v>
      </c>
      <c r="I97" s="82">
        <f>IF('Пр-во и Продажи'!H21&gt;0,('НА и ОС'!J116*'Пр-во и Продажи'!H21/'Пр-во и Продажи'!H22)/'Пр-во и Продажи'!H21*1000,0)</f>
        <v>0</v>
      </c>
      <c r="J97" s="82">
        <f>IF('Пр-во и Продажи'!I21&gt;0,('НА и ОС'!K116*'Пр-во и Продажи'!I21/'Пр-во и Продажи'!I22)/'Пр-во и Продажи'!I21*1000,0)</f>
        <v>0</v>
      </c>
      <c r="K97" s="82">
        <f>IF('Пр-во и Продажи'!J21&gt;0,('НА и ОС'!L116*'Пр-во и Продажи'!J21/'Пр-во и Продажи'!J22)/'Пр-во и Продажи'!J21*1000,0)</f>
        <v>0</v>
      </c>
      <c r="L97" s="82">
        <f>IF('Пр-во и Продажи'!K21&gt;0,('НА и ОС'!M116*'Пр-во и Продажи'!K21/'Пр-во и Продажи'!K22)/'Пр-во и Продажи'!K21*1000,0)</f>
        <v>0</v>
      </c>
      <c r="M97" s="82">
        <f>IF('Пр-во и Продажи'!L21&gt;0,('НА и ОС'!N116*'Пр-во и Продажи'!L21/'Пр-во и Продажи'!L22)/'Пр-во и Продажи'!L21*1000,0)</f>
        <v>0</v>
      </c>
      <c r="N97" s="82">
        <f>IF('Пр-во и Продажи'!M21&gt;0,('НА и ОС'!O116*'Пр-во и Продажи'!M21/'Пр-во и Продажи'!M22)/'Пр-во и Продажи'!M21*1000,0)</f>
        <v>0</v>
      </c>
      <c r="O97" s="82">
        <f>IF('Пр-во и Продажи'!N21&gt;0,('НА и ОС'!P116*'Пр-во и Продажи'!N21/'Пр-во и Продажи'!N22)/'Пр-во и Продажи'!N21*1000,0)</f>
        <v>0</v>
      </c>
      <c r="P97" s="82">
        <f>IF('Пр-во и Продажи'!O21&gt;0,('НА и ОС'!Q116*'Пр-во и Продажи'!O21/'Пр-во и Продажи'!O22)/'Пр-во и Продажи'!O21*1000,0)</f>
        <v>0</v>
      </c>
      <c r="Q97" s="82">
        <f>IF('Пр-во и Продажи'!P21&gt;0,('НА и ОС'!R116*'Пр-во и Продажи'!P21/'Пр-во и Продажи'!P22)/'Пр-во и Продажи'!P21*1000,0)</f>
        <v>4.6119019731507335E-3</v>
      </c>
      <c r="R97" s="82">
        <f>IF('Пр-во и Продажи'!Q21&gt;0,('НА и ОС'!S116*'Пр-во и Продажи'!Q21/'Пр-во и Продажи'!Q22)/'Пр-во и Продажи'!Q21*1000,0)</f>
        <v>2.4598623853211005E-2</v>
      </c>
      <c r="S97" s="82">
        <f>IF('Пр-во и Продажи'!R21&gt;0,('НА и ОС'!T116*'Пр-во и Продажи'!R21/'Пр-во и Продажи'!R22)/'Пр-во и Продажи'!R21*1000,0)</f>
        <v>2.3114224137931034E-2</v>
      </c>
      <c r="T97" s="82">
        <f>IF('Пр-во и Продажи'!S21&gt;0,('НА и ОС'!U116*'Пр-во и Продажи'!S21/'Пр-во и Продажи'!S22)/'Пр-во и Продажи'!S21*1000,0)</f>
        <v>2.1605560032232067E-2</v>
      </c>
      <c r="U97" s="82">
        <f>IF('Пр-во и Продажи'!T21&gt;0,('НА и ОС'!V116*'Пр-во и Продажи'!T21/'Пр-во и Продажи'!T22)/'Пр-во и Продажи'!T21*1000,0)</f>
        <v>1.975865880619012E-2</v>
      </c>
      <c r="V97" s="82">
        <f>IF('Пр-во и Продажи'!U21&gt;0,('НА и ОС'!W116*'Пр-во и Продажи'!U21/'Пр-во и Продажи'!U22)/'Пр-во и Продажи'!U21*1000,0)</f>
        <v>1.9861111111111104E-2</v>
      </c>
      <c r="W97" s="82">
        <f>IF('Пр-во и Продажи'!V21&gt;0,('НА и ОС'!X116*'Пр-во и Продажи'!V21/'Пр-во и Продажи'!V22)/'Пр-во и Продажи'!V21*1000,0)</f>
        <v>1.854253112033195E-2</v>
      </c>
      <c r="X97" s="82">
        <f>IF('Пр-во и Продажи'!W21&gt;0,('НА и ОС'!Y116*'Пр-во и Продажи'!W21/'Пр-во и Продажи'!W22)/'Пр-во и Продажи'!W21*1000,0)</f>
        <v>1.7264971023824852E-2</v>
      </c>
      <c r="Y97" s="82">
        <f>IF('Пр-во и Продажи'!X21&gt;0,('НА и ОС'!Z116*'Пр-во и Продажи'!X21/'Пр-во и Продажи'!X22)/'Пр-во и Продажи'!X21*1000,0)</f>
        <v>1.6191123188405796E-2</v>
      </c>
      <c r="AA97" s="149">
        <f>AVERAGE(F97:I97)</f>
        <v>0</v>
      </c>
      <c r="AB97" s="149">
        <f>AVERAGE(J97:M97)</f>
        <v>0</v>
      </c>
      <c r="AC97" s="149">
        <f>AVERAGE(N97:Q97)</f>
        <v>1.1529754932876834E-3</v>
      </c>
      <c r="AD97" s="149">
        <f>AVERAGE(R97:U97)</f>
        <v>2.2269266707391058E-2</v>
      </c>
      <c r="AE97" s="149">
        <f>AVERAGE(V97:Y97)</f>
        <v>1.7964934110918426E-2</v>
      </c>
    </row>
    <row r="98" spans="1:31" x14ac:dyDescent="0.2">
      <c r="C98" s="1" t="s">
        <v>184</v>
      </c>
      <c r="E98" s="80" t="s">
        <v>116</v>
      </c>
      <c r="F98" s="82">
        <f>IF('Пр-во и Продажи'!E21&gt;0,('НА и ОС'!G121*'Пр-во и Продажи'!E21/'Пр-во и Продажи'!E22)/'Пр-во и Продажи'!E21*1000,0)</f>
        <v>0</v>
      </c>
      <c r="G98" s="82">
        <f>IF('Пр-во и Продажи'!F21&gt;0,('НА и ОС'!H121*'Пр-во и Продажи'!F21/'Пр-во и Продажи'!F22)/'Пр-во и Продажи'!F21*1000,0)</f>
        <v>0</v>
      </c>
      <c r="H98" s="82">
        <f>IF('Пр-во и Продажи'!G21&gt;0,('НА и ОС'!I121*'Пр-во и Продажи'!G21/'Пр-во и Продажи'!G22)/'Пр-во и Продажи'!G21*1000,0)</f>
        <v>0</v>
      </c>
      <c r="I98" s="82">
        <f>IF('Пр-во и Продажи'!H21&gt;0,('НА и ОС'!J121*'Пр-во и Продажи'!H21/'Пр-во и Продажи'!H22)/'Пр-во и Продажи'!H21*1000,0)</f>
        <v>0</v>
      </c>
      <c r="J98" s="82">
        <f>IF('Пр-во и Продажи'!I21&gt;0,('НА и ОС'!K121*'Пр-во и Продажи'!I21/'Пр-во и Продажи'!I22)/'Пр-во и Продажи'!I21*1000,0)</f>
        <v>0</v>
      </c>
      <c r="K98" s="82">
        <f>IF('Пр-во и Продажи'!J21&gt;0,('НА и ОС'!L121*'Пр-во и Продажи'!J21/'Пр-во и Продажи'!J22)/'Пр-во и Продажи'!J21*1000,0)</f>
        <v>0</v>
      </c>
      <c r="L98" s="82">
        <f>IF('Пр-во и Продажи'!K21&gt;0,('НА и ОС'!M121*'Пр-во и Продажи'!K21/'Пр-во и Продажи'!K22)/'Пр-во и Продажи'!K21*1000,0)</f>
        <v>0</v>
      </c>
      <c r="M98" s="82">
        <f>IF('Пр-во и Продажи'!L21&gt;0,('НА и ОС'!N121*'Пр-во и Продажи'!L21/'Пр-во и Продажи'!L22)/'Пр-во и Продажи'!L21*1000,0)</f>
        <v>0</v>
      </c>
      <c r="N98" s="82">
        <f>IF('Пр-во и Продажи'!M21&gt;0,('НА и ОС'!O121*'Пр-во и Продажи'!M21/'Пр-во и Продажи'!M22)/'Пр-во и Продажи'!M21*1000,0)</f>
        <v>0</v>
      </c>
      <c r="O98" s="82">
        <f>IF('Пр-во и Продажи'!N21&gt;0,('НА и ОС'!P121*'Пр-во и Продажи'!N21/'Пр-во и Продажи'!N22)/'Пр-во и Продажи'!N21*1000,0)</f>
        <v>0</v>
      </c>
      <c r="P98" s="82">
        <f>IF('Пр-во и Продажи'!O21&gt;0,('НА и ОС'!Q121*'Пр-во и Продажи'!O21/'Пр-во и Продажи'!O22)/'Пр-во и Продажи'!O21*1000,0)</f>
        <v>0</v>
      </c>
      <c r="Q98" s="82">
        <f>IF('Пр-во и Продажи'!P21&gt;0,('НА и ОС'!R121*'Пр-во и Продажи'!P21/'Пр-во и Продажи'!P22)/'Пр-во и Продажи'!P21*1000,0)</f>
        <v>3.6434025587890797E-3</v>
      </c>
      <c r="R98" s="82">
        <f>IF('Пр-во и Продажи'!Q21&gt;0,('НА и ОС'!S121*'Пр-во и Продажи'!Q21/'Пр-во и Продажи'!Q22)/'Пр-во и Продажи'!Q21*1000,0)</f>
        <v>2.2762875312760628E-2</v>
      </c>
      <c r="S98" s="82">
        <f>IF('Пр-во и Продажи'!R21&gt;0,('НА и ОС'!T121*'Пр-во и Продажи'!R21/'Пр-во и Продажи'!R22)/'Пр-во и Продажи'!R21*1000,0)</f>
        <v>3.620910070532915E-2</v>
      </c>
      <c r="T98" s="82">
        <f>IF('Пр-во и Продажи'!S21&gt;0,('НА и ОС'!U121*'Пр-во и Продажи'!S21/'Пр-во и Продажи'!S22)/'Пр-во и Продажи'!S21*1000,0)</f>
        <v>3.3413623544062694E-2</v>
      </c>
      <c r="U98" s="82">
        <f>IF('Пр-во и Продажи'!T21&gt;0,('НА и ОС'!V121*'Пр-во и Продажи'!T21/'Пр-во и Продажи'!T22)/'Пр-во и Продажи'!T21*1000,0)</f>
        <v>3.0162164199102292E-2</v>
      </c>
      <c r="V98" s="82">
        <f>IF('Пр-во и Продажи'!U21&gt;0,('НА и ОС'!W121*'Пр-во и Продажи'!U21/'Пр-во и Продажи'!U22)/'Пр-во и Продажи'!U21*1000,0)</f>
        <v>2.9921338383838376E-2</v>
      </c>
      <c r="W98" s="82">
        <f>IF('Пр-во и Продажи'!V21&gt;0,('НА и ОС'!X121*'Пр-во и Продажи'!V21/'Пр-во и Продажи'!V22)/'Пр-во и Продажи'!V21*1000,0)</f>
        <v>2.7564008864579402E-2</v>
      </c>
      <c r="X98" s="82">
        <f>IF('Пр-во и Продажи'!W21&gt;0,('НА и ОС'!Y121*'Пр-во и Продажи'!W21/'Пр-во и Продажи'!W22)/'Пр-во и Продажи'!W21*1000,0)</f>
        <v>2.5319579406427439E-2</v>
      </c>
      <c r="Y98" s="82">
        <f>IF('Пр-во и Продажи'!X21&gt;0,('НА и ОС'!Z121*'Пр-во и Продажи'!X21/'Пр-во и Продажи'!X22)/'Пр-во и Продажи'!X21*1000,0)</f>
        <v>2.3420928030303025E-2</v>
      </c>
      <c r="AA98" s="149">
        <f>AVERAGE(F98:I98)</f>
        <v>0</v>
      </c>
      <c r="AB98" s="149">
        <f>AVERAGE(J98:M98)</f>
        <v>0</v>
      </c>
      <c r="AC98" s="149">
        <f>AVERAGE(N98:Q98)</f>
        <v>9.1085063969726992E-4</v>
      </c>
      <c r="AD98" s="149">
        <f>AVERAGE(R98:U98)</f>
        <v>3.0636940940313693E-2</v>
      </c>
      <c r="AE98" s="149">
        <f>AVERAGE(V98:Y98)</f>
        <v>2.6556463671287063E-2</v>
      </c>
    </row>
    <row r="99" spans="1:31" s="27" customFormat="1" x14ac:dyDescent="0.2">
      <c r="C99" s="28" t="s">
        <v>43</v>
      </c>
      <c r="E99" s="80" t="s">
        <v>116</v>
      </c>
      <c r="F99" s="123">
        <f>SUM(F92:F98)</f>
        <v>192.39265915087549</v>
      </c>
      <c r="G99" s="123">
        <f t="shared" ref="G99:Y99" si="20">SUM(G92:G98)</f>
        <v>156.0114588674686</v>
      </c>
      <c r="H99" s="123">
        <f t="shared" si="20"/>
        <v>138.82308733254231</v>
      </c>
      <c r="I99" s="123">
        <f t="shared" si="20"/>
        <v>132.19782231029345</v>
      </c>
      <c r="J99" s="123">
        <f t="shared" si="20"/>
        <v>132.92327865058297</v>
      </c>
      <c r="K99" s="123">
        <f t="shared" si="20"/>
        <v>128.52114444934028</v>
      </c>
      <c r="L99" s="123">
        <f t="shared" si="20"/>
        <v>122.80113779888534</v>
      </c>
      <c r="M99" s="123">
        <f t="shared" si="20"/>
        <v>121.20005488165319</v>
      </c>
      <c r="N99" s="123">
        <f t="shared" si="20"/>
        <v>120.33512297875146</v>
      </c>
      <c r="O99" s="123">
        <f t="shared" si="20"/>
        <v>119.91951804782326</v>
      </c>
      <c r="P99" s="123">
        <f t="shared" si="20"/>
        <v>121.10471160514507</v>
      </c>
      <c r="Q99" s="123">
        <f t="shared" si="20"/>
        <v>121.71368570715352</v>
      </c>
      <c r="R99" s="123">
        <f t="shared" si="20"/>
        <v>122.3537114581713</v>
      </c>
      <c r="S99" s="123">
        <f t="shared" si="20"/>
        <v>123.18738185088068</v>
      </c>
      <c r="T99" s="123">
        <f t="shared" si="20"/>
        <v>123.99529470746008</v>
      </c>
      <c r="U99" s="123">
        <f t="shared" si="20"/>
        <v>124.64520465529205</v>
      </c>
      <c r="V99" s="123">
        <f t="shared" si="20"/>
        <v>126.22275847092359</v>
      </c>
      <c r="W99" s="123">
        <f t="shared" si="20"/>
        <v>127.1339534219392</v>
      </c>
      <c r="X99" s="123">
        <f t="shared" si="20"/>
        <v>128.06870586915855</v>
      </c>
      <c r="Y99" s="123">
        <f t="shared" si="20"/>
        <v>129.10819399724338</v>
      </c>
      <c r="AA99" s="150">
        <f>SUM(AA92:AA98)</f>
        <v>154.85625691529498</v>
      </c>
      <c r="AB99" s="150">
        <f>SUM(AB92:AB98)</f>
        <v>126.36140394511544</v>
      </c>
      <c r="AC99" s="150">
        <f>SUM(AC92:AC98)</f>
        <v>120.76825958471834</v>
      </c>
      <c r="AD99" s="150">
        <f>SUM(AD92:AD98)</f>
        <v>123.54539816795103</v>
      </c>
      <c r="AE99" s="150">
        <f>SUM(AE92:AE98)</f>
        <v>127.63340293981619</v>
      </c>
    </row>
    <row r="100" spans="1:31" x14ac:dyDescent="0.2">
      <c r="E100" s="80"/>
    </row>
    <row r="101" spans="1:31" x14ac:dyDescent="0.2">
      <c r="A101" s="25" t="s">
        <v>385</v>
      </c>
      <c r="E101" s="80"/>
    </row>
    <row r="102" spans="1:31" x14ac:dyDescent="0.2">
      <c r="B102" s="36" t="s">
        <v>35</v>
      </c>
      <c r="E102" s="80"/>
    </row>
    <row r="103" spans="1:31" x14ac:dyDescent="0.2">
      <c r="C103" s="1" t="s">
        <v>295</v>
      </c>
      <c r="E103" s="80" t="s">
        <v>123</v>
      </c>
      <c r="F103" s="76">
        <v>0</v>
      </c>
      <c r="G103" s="81">
        <f>F103</f>
        <v>0</v>
      </c>
      <c r="H103" s="81">
        <f t="shared" ref="H103:Y103" si="21">G103</f>
        <v>0</v>
      </c>
      <c r="I103" s="81">
        <f t="shared" si="21"/>
        <v>0</v>
      </c>
      <c r="J103" s="81">
        <v>0.5</v>
      </c>
      <c r="K103" s="81">
        <f t="shared" si="21"/>
        <v>0.5</v>
      </c>
      <c r="L103" s="81">
        <f t="shared" si="21"/>
        <v>0.5</v>
      </c>
      <c r="M103" s="81">
        <f t="shared" si="21"/>
        <v>0.5</v>
      </c>
      <c r="N103" s="81">
        <v>0.2</v>
      </c>
      <c r="O103" s="81">
        <f t="shared" si="21"/>
        <v>0.2</v>
      </c>
      <c r="P103" s="81">
        <f t="shared" si="21"/>
        <v>0.2</v>
      </c>
      <c r="Q103" s="81">
        <f t="shared" si="21"/>
        <v>0.2</v>
      </c>
      <c r="R103" s="81">
        <f t="shared" si="21"/>
        <v>0.2</v>
      </c>
      <c r="S103" s="81">
        <f t="shared" si="21"/>
        <v>0.2</v>
      </c>
      <c r="T103" s="81">
        <f t="shared" si="21"/>
        <v>0.2</v>
      </c>
      <c r="U103" s="81">
        <f t="shared" si="21"/>
        <v>0.2</v>
      </c>
      <c r="V103" s="81">
        <f t="shared" si="21"/>
        <v>0.2</v>
      </c>
      <c r="W103" s="81">
        <f t="shared" si="21"/>
        <v>0.2</v>
      </c>
      <c r="X103" s="81">
        <f t="shared" si="21"/>
        <v>0.2</v>
      </c>
      <c r="Y103" s="81">
        <f t="shared" si="21"/>
        <v>0.2</v>
      </c>
    </row>
    <row r="104" spans="1:31" x14ac:dyDescent="0.2">
      <c r="C104" s="1" t="s">
        <v>296</v>
      </c>
      <c r="E104" s="80" t="s">
        <v>123</v>
      </c>
      <c r="F104" s="76">
        <v>0</v>
      </c>
      <c r="G104" s="81">
        <f>F104</f>
        <v>0</v>
      </c>
      <c r="H104" s="81">
        <f t="shared" ref="H104:Y106" si="22">G104</f>
        <v>0</v>
      </c>
      <c r="I104" s="81">
        <f t="shared" si="22"/>
        <v>0</v>
      </c>
      <c r="J104" s="81">
        <v>1</v>
      </c>
      <c r="K104" s="81">
        <f t="shared" si="22"/>
        <v>1</v>
      </c>
      <c r="L104" s="81">
        <f t="shared" si="22"/>
        <v>1</v>
      </c>
      <c r="M104" s="81">
        <f t="shared" si="22"/>
        <v>1</v>
      </c>
      <c r="N104" s="81">
        <v>0.5</v>
      </c>
      <c r="O104" s="81">
        <f t="shared" si="22"/>
        <v>0.5</v>
      </c>
      <c r="P104" s="81">
        <f t="shared" si="22"/>
        <v>0.5</v>
      </c>
      <c r="Q104" s="81">
        <f t="shared" si="22"/>
        <v>0.5</v>
      </c>
      <c r="R104" s="81">
        <v>0.2</v>
      </c>
      <c r="S104" s="81">
        <f t="shared" si="22"/>
        <v>0.2</v>
      </c>
      <c r="T104" s="81">
        <f t="shared" si="22"/>
        <v>0.2</v>
      </c>
      <c r="U104" s="81">
        <f t="shared" si="22"/>
        <v>0.2</v>
      </c>
      <c r="V104" s="81">
        <f t="shared" si="22"/>
        <v>0.2</v>
      </c>
      <c r="W104" s="81">
        <f t="shared" si="22"/>
        <v>0.2</v>
      </c>
      <c r="X104" s="81">
        <f t="shared" si="22"/>
        <v>0.2</v>
      </c>
      <c r="Y104" s="81">
        <f t="shared" si="22"/>
        <v>0.2</v>
      </c>
    </row>
    <row r="105" spans="1:31" x14ac:dyDescent="0.2">
      <c r="C105" s="1" t="s">
        <v>297</v>
      </c>
      <c r="E105" s="80" t="s">
        <v>123</v>
      </c>
      <c r="F105" s="76">
        <v>0</v>
      </c>
      <c r="G105" s="81">
        <f>F105</f>
        <v>0</v>
      </c>
      <c r="H105" s="81">
        <f>G105</f>
        <v>0</v>
      </c>
      <c r="I105" s="81">
        <f>H105</f>
        <v>0</v>
      </c>
      <c r="J105" s="81">
        <v>1</v>
      </c>
      <c r="K105" s="81">
        <f>J105</f>
        <v>1</v>
      </c>
      <c r="L105" s="81">
        <f>K105</f>
        <v>1</v>
      </c>
      <c r="M105" s="81">
        <f>L105</f>
        <v>1</v>
      </c>
      <c r="N105" s="81">
        <v>0.5</v>
      </c>
      <c r="O105" s="81">
        <f>N105</f>
        <v>0.5</v>
      </c>
      <c r="P105" s="81">
        <f>O105</f>
        <v>0.5</v>
      </c>
      <c r="Q105" s="81">
        <f>P105</f>
        <v>0.5</v>
      </c>
      <c r="R105" s="81">
        <v>0.2</v>
      </c>
      <c r="S105" s="81">
        <f>R105</f>
        <v>0.2</v>
      </c>
      <c r="T105" s="81">
        <f>S105</f>
        <v>0.2</v>
      </c>
      <c r="U105" s="81">
        <f>T105</f>
        <v>0.2</v>
      </c>
      <c r="V105" s="81">
        <f>U105</f>
        <v>0.2</v>
      </c>
      <c r="W105" s="81">
        <f t="shared" si="22"/>
        <v>0.2</v>
      </c>
      <c r="X105" s="81">
        <f t="shared" si="22"/>
        <v>0.2</v>
      </c>
      <c r="Y105" s="81">
        <f t="shared" si="22"/>
        <v>0.2</v>
      </c>
    </row>
    <row r="106" spans="1:31" x14ac:dyDescent="0.2">
      <c r="C106" s="1" t="s">
        <v>298</v>
      </c>
      <c r="E106" s="80" t="s">
        <v>123</v>
      </c>
      <c r="F106" s="76">
        <v>0</v>
      </c>
      <c r="G106" s="81">
        <f>F106</f>
        <v>0</v>
      </c>
      <c r="H106" s="81">
        <f t="shared" si="22"/>
        <v>0</v>
      </c>
      <c r="I106" s="81">
        <f t="shared" si="22"/>
        <v>0</v>
      </c>
      <c r="J106" s="81">
        <f t="shared" si="22"/>
        <v>0</v>
      </c>
      <c r="K106" s="81">
        <f t="shared" si="22"/>
        <v>0</v>
      </c>
      <c r="L106" s="81">
        <f t="shared" si="22"/>
        <v>0</v>
      </c>
      <c r="M106" s="81">
        <f t="shared" si="22"/>
        <v>0</v>
      </c>
      <c r="N106" s="81">
        <f t="shared" si="22"/>
        <v>0</v>
      </c>
      <c r="O106" s="81">
        <f t="shared" si="22"/>
        <v>0</v>
      </c>
      <c r="P106" s="81">
        <f t="shared" si="22"/>
        <v>0</v>
      </c>
      <c r="Q106" s="81">
        <f t="shared" si="22"/>
        <v>0</v>
      </c>
      <c r="R106" s="81">
        <f t="shared" si="22"/>
        <v>0</v>
      </c>
      <c r="S106" s="81">
        <f t="shared" si="22"/>
        <v>0</v>
      </c>
      <c r="T106" s="81">
        <f t="shared" si="22"/>
        <v>0</v>
      </c>
      <c r="U106" s="81">
        <f t="shared" si="22"/>
        <v>0</v>
      </c>
      <c r="V106" s="81">
        <f t="shared" si="22"/>
        <v>0</v>
      </c>
      <c r="W106" s="81">
        <f t="shared" si="22"/>
        <v>0</v>
      </c>
      <c r="X106" s="81">
        <f t="shared" si="22"/>
        <v>0</v>
      </c>
      <c r="Y106" s="81">
        <f t="shared" si="22"/>
        <v>0</v>
      </c>
    </row>
    <row r="107" spans="1:31" x14ac:dyDescent="0.2">
      <c r="C107" s="1" t="s">
        <v>324</v>
      </c>
      <c r="E107" s="80" t="s">
        <v>117</v>
      </c>
      <c r="F107" s="82">
        <f>F35*F103</f>
        <v>0</v>
      </c>
      <c r="G107" s="82">
        <f t="shared" ref="G107:Y107" si="23">G35*G103</f>
        <v>0</v>
      </c>
      <c r="H107" s="82">
        <f t="shared" si="23"/>
        <v>0</v>
      </c>
      <c r="I107" s="82">
        <f t="shared" si="23"/>
        <v>0</v>
      </c>
      <c r="J107" s="82">
        <f t="shared" si="23"/>
        <v>1876.5509734480515</v>
      </c>
      <c r="K107" s="82">
        <f t="shared" si="23"/>
        <v>2166.8175668237081</v>
      </c>
      <c r="L107" s="82">
        <f t="shared" si="23"/>
        <v>2640.5009401969264</v>
      </c>
      <c r="M107" s="82">
        <f t="shared" si="23"/>
        <v>3043.0557010747007</v>
      </c>
      <c r="N107" s="82">
        <f t="shared" si="23"/>
        <v>1521.4798130247491</v>
      </c>
      <c r="O107" s="82">
        <f t="shared" si="23"/>
        <v>1816.2420867644648</v>
      </c>
      <c r="P107" s="82">
        <f t="shared" si="23"/>
        <v>2064.0405450007743</v>
      </c>
      <c r="Q107" s="82">
        <f t="shared" si="23"/>
        <v>2337.4195964776691</v>
      </c>
      <c r="R107" s="82">
        <f t="shared" si="23"/>
        <v>2668.9663923134308</v>
      </c>
      <c r="S107" s="82">
        <f t="shared" si="23"/>
        <v>3046.6210723158688</v>
      </c>
      <c r="T107" s="82">
        <f t="shared" si="23"/>
        <v>3646.5022957382057</v>
      </c>
      <c r="U107" s="82">
        <f t="shared" si="23"/>
        <v>3926.8649220824841</v>
      </c>
      <c r="V107" s="82">
        <f t="shared" si="23"/>
        <v>2802.4147119291029</v>
      </c>
      <c r="W107" s="82">
        <f t="shared" si="23"/>
        <v>3198.9521259316625</v>
      </c>
      <c r="X107" s="82">
        <f t="shared" si="23"/>
        <v>3828.8274105251171</v>
      </c>
      <c r="Y107" s="82">
        <f t="shared" si="23"/>
        <v>4123.2081681866102</v>
      </c>
    </row>
    <row r="108" spans="1:31" x14ac:dyDescent="0.2">
      <c r="C108" s="1" t="s">
        <v>325</v>
      </c>
      <c r="E108" s="80" t="s">
        <v>117</v>
      </c>
      <c r="F108" s="82">
        <f>F37*F104</f>
        <v>0</v>
      </c>
      <c r="G108" s="82">
        <f t="shared" ref="G108:Y108" si="24">G37*G104</f>
        <v>0</v>
      </c>
      <c r="H108" s="82">
        <f t="shared" si="24"/>
        <v>0</v>
      </c>
      <c r="I108" s="82">
        <f t="shared" si="24"/>
        <v>0</v>
      </c>
      <c r="J108" s="82">
        <f t="shared" si="24"/>
        <v>558.49731352620574</v>
      </c>
      <c r="K108" s="82">
        <f t="shared" si="24"/>
        <v>644.88618060229408</v>
      </c>
      <c r="L108" s="82">
        <f t="shared" si="24"/>
        <v>785.86337505860899</v>
      </c>
      <c r="M108" s="82">
        <f t="shared" si="24"/>
        <v>905.67133960556555</v>
      </c>
      <c r="N108" s="82">
        <f t="shared" si="24"/>
        <v>566.0267161550405</v>
      </c>
      <c r="O108" s="82">
        <f t="shared" si="24"/>
        <v>675.68530013558939</v>
      </c>
      <c r="P108" s="82">
        <f t="shared" si="24"/>
        <v>767.87222656278789</v>
      </c>
      <c r="Q108" s="82">
        <f t="shared" si="24"/>
        <v>869.57574273722787</v>
      </c>
      <c r="R108" s="82">
        <f t="shared" si="24"/>
        <v>397.16761790378439</v>
      </c>
      <c r="S108" s="82">
        <f t="shared" si="24"/>
        <v>453.36623099938515</v>
      </c>
      <c r="T108" s="82">
        <f t="shared" si="24"/>
        <v>542.63427019913786</v>
      </c>
      <c r="U108" s="82">
        <f t="shared" si="24"/>
        <v>584.35489911941738</v>
      </c>
      <c r="V108" s="82">
        <f t="shared" si="24"/>
        <v>417.02599879897383</v>
      </c>
      <c r="W108" s="82">
        <f t="shared" si="24"/>
        <v>476.03454254935468</v>
      </c>
      <c r="X108" s="82">
        <f t="shared" si="24"/>
        <v>569.76598370909494</v>
      </c>
      <c r="Y108" s="82">
        <f t="shared" si="24"/>
        <v>613.57264407538833</v>
      </c>
    </row>
    <row r="109" spans="1:31" x14ac:dyDescent="0.2">
      <c r="C109" s="1" t="s">
        <v>326</v>
      </c>
      <c r="E109" s="80" t="s">
        <v>117</v>
      </c>
      <c r="F109" s="82">
        <f>F39*F105</f>
        <v>0</v>
      </c>
      <c r="G109" s="82">
        <f t="shared" ref="G109:Y109" si="25">G39*G105</f>
        <v>0</v>
      </c>
      <c r="H109" s="82">
        <f t="shared" si="25"/>
        <v>0</v>
      </c>
      <c r="I109" s="82">
        <f t="shared" si="25"/>
        <v>0</v>
      </c>
      <c r="J109" s="82">
        <f t="shared" si="25"/>
        <v>36.488491150378778</v>
      </c>
      <c r="K109" s="82">
        <f t="shared" si="25"/>
        <v>42.132563799349882</v>
      </c>
      <c r="L109" s="82">
        <f t="shared" si="25"/>
        <v>51.343073837162471</v>
      </c>
      <c r="M109" s="82">
        <f t="shared" si="25"/>
        <v>59.170527520896961</v>
      </c>
      <c r="N109" s="82">
        <f t="shared" si="25"/>
        <v>36.980412122129323</v>
      </c>
      <c r="O109" s="82">
        <f t="shared" si="25"/>
        <v>44.144772942191857</v>
      </c>
      <c r="P109" s="82">
        <f t="shared" si="25"/>
        <v>50.167652135435489</v>
      </c>
      <c r="Q109" s="82">
        <f t="shared" si="25"/>
        <v>56.812281858832236</v>
      </c>
      <c r="R109" s="82">
        <f t="shared" si="25"/>
        <v>25.948284369713917</v>
      </c>
      <c r="S109" s="82">
        <f t="shared" si="25"/>
        <v>29.619927091959838</v>
      </c>
      <c r="T109" s="82">
        <f t="shared" si="25"/>
        <v>35.452105653010349</v>
      </c>
      <c r="U109" s="82">
        <f t="shared" si="25"/>
        <v>38.177853409135267</v>
      </c>
      <c r="V109" s="82">
        <f t="shared" si="25"/>
        <v>27.245698588199616</v>
      </c>
      <c r="W109" s="82">
        <f t="shared" si="25"/>
        <v>31.100923446557836</v>
      </c>
      <c r="X109" s="82">
        <f t="shared" si="25"/>
        <v>37.224710935660866</v>
      </c>
      <c r="Y109" s="82">
        <f t="shared" si="25"/>
        <v>40.086746079592046</v>
      </c>
    </row>
    <row r="110" spans="1:31" x14ac:dyDescent="0.2">
      <c r="C110" s="1" t="s">
        <v>327</v>
      </c>
      <c r="E110" s="80" t="s">
        <v>117</v>
      </c>
      <c r="F110" s="82">
        <f>F41*F106</f>
        <v>0</v>
      </c>
      <c r="G110" s="82">
        <f t="shared" ref="G110:Y110" si="26">G41*G106</f>
        <v>0</v>
      </c>
      <c r="H110" s="82">
        <f t="shared" si="26"/>
        <v>0</v>
      </c>
      <c r="I110" s="82">
        <f t="shared" si="26"/>
        <v>0</v>
      </c>
      <c r="J110" s="82">
        <f t="shared" si="26"/>
        <v>0</v>
      </c>
      <c r="K110" s="82">
        <f t="shared" si="26"/>
        <v>0</v>
      </c>
      <c r="L110" s="82">
        <f t="shared" si="26"/>
        <v>0</v>
      </c>
      <c r="M110" s="82">
        <f t="shared" si="26"/>
        <v>0</v>
      </c>
      <c r="N110" s="82">
        <f t="shared" si="26"/>
        <v>0</v>
      </c>
      <c r="O110" s="82">
        <f t="shared" si="26"/>
        <v>0</v>
      </c>
      <c r="P110" s="82">
        <f t="shared" si="26"/>
        <v>0</v>
      </c>
      <c r="Q110" s="82">
        <f t="shared" si="26"/>
        <v>0</v>
      </c>
      <c r="R110" s="82">
        <f t="shared" si="26"/>
        <v>0</v>
      </c>
      <c r="S110" s="82">
        <f t="shared" si="26"/>
        <v>0</v>
      </c>
      <c r="T110" s="82">
        <f t="shared" si="26"/>
        <v>0</v>
      </c>
      <c r="U110" s="82">
        <f t="shared" si="26"/>
        <v>0</v>
      </c>
      <c r="V110" s="82">
        <f t="shared" si="26"/>
        <v>0</v>
      </c>
      <c r="W110" s="82">
        <f t="shared" si="26"/>
        <v>0</v>
      </c>
      <c r="X110" s="82">
        <f t="shared" si="26"/>
        <v>0</v>
      </c>
      <c r="Y110" s="82">
        <f t="shared" si="26"/>
        <v>0</v>
      </c>
    </row>
    <row r="111" spans="1:31" s="27" customFormat="1" x14ac:dyDescent="0.2">
      <c r="C111" s="28" t="s">
        <v>40</v>
      </c>
      <c r="E111" s="80" t="s">
        <v>117</v>
      </c>
      <c r="F111" s="123">
        <f>SUM(F107:F110)</f>
        <v>0</v>
      </c>
      <c r="G111" s="123">
        <f t="shared" ref="G111:Y111" si="27">SUM(G107:G110)</f>
        <v>0</v>
      </c>
      <c r="H111" s="123">
        <f t="shared" si="27"/>
        <v>0</v>
      </c>
      <c r="I111" s="123">
        <f t="shared" si="27"/>
        <v>0</v>
      </c>
      <c r="J111" s="123">
        <f t="shared" si="27"/>
        <v>2471.5367781246359</v>
      </c>
      <c r="K111" s="123">
        <f t="shared" si="27"/>
        <v>2853.8363112253523</v>
      </c>
      <c r="L111" s="123">
        <f t="shared" si="27"/>
        <v>3477.7073890926981</v>
      </c>
      <c r="M111" s="123">
        <f t="shared" si="27"/>
        <v>4007.8975682011633</v>
      </c>
      <c r="N111" s="123">
        <f t="shared" si="27"/>
        <v>2124.4869413019187</v>
      </c>
      <c r="O111" s="123">
        <f t="shared" si="27"/>
        <v>2536.0721598422465</v>
      </c>
      <c r="P111" s="123">
        <f t="shared" si="27"/>
        <v>2882.0804236989979</v>
      </c>
      <c r="Q111" s="123">
        <f t="shared" si="27"/>
        <v>3263.807621073729</v>
      </c>
      <c r="R111" s="123">
        <f t="shared" si="27"/>
        <v>3092.082294586929</v>
      </c>
      <c r="S111" s="123">
        <f t="shared" si="27"/>
        <v>3529.6072304072136</v>
      </c>
      <c r="T111" s="123">
        <f t="shared" si="27"/>
        <v>4224.5886715903534</v>
      </c>
      <c r="U111" s="123">
        <f t="shared" si="27"/>
        <v>4549.3976746110366</v>
      </c>
      <c r="V111" s="123">
        <f t="shared" si="27"/>
        <v>3246.6864093162762</v>
      </c>
      <c r="W111" s="123">
        <f t="shared" si="27"/>
        <v>3706.087591927575</v>
      </c>
      <c r="X111" s="123">
        <f t="shared" si="27"/>
        <v>4435.818105169873</v>
      </c>
      <c r="Y111" s="123">
        <f t="shared" si="27"/>
        <v>4776.8675583415907</v>
      </c>
    </row>
    <row r="112" spans="1:31" x14ac:dyDescent="0.2">
      <c r="B112" s="36" t="s">
        <v>522</v>
      </c>
    </row>
    <row r="113" spans="2:25" x14ac:dyDescent="0.2">
      <c r="C113" s="1" t="s">
        <v>295</v>
      </c>
      <c r="E113" s="80" t="s">
        <v>123</v>
      </c>
      <c r="F113" s="76">
        <v>1</v>
      </c>
      <c r="G113" s="81">
        <f>F113</f>
        <v>1</v>
      </c>
      <c r="H113" s="81">
        <f t="shared" ref="H113:Y113" si="28">G113</f>
        <v>1</v>
      </c>
      <c r="I113" s="81">
        <f t="shared" si="28"/>
        <v>1</v>
      </c>
      <c r="J113" s="81">
        <v>0.5</v>
      </c>
      <c r="K113" s="81">
        <f t="shared" si="28"/>
        <v>0.5</v>
      </c>
      <c r="L113" s="81">
        <f t="shared" si="28"/>
        <v>0.5</v>
      </c>
      <c r="M113" s="81">
        <f t="shared" si="28"/>
        <v>0.5</v>
      </c>
      <c r="N113" s="81">
        <v>0.2</v>
      </c>
      <c r="O113" s="81">
        <f t="shared" si="28"/>
        <v>0.2</v>
      </c>
      <c r="P113" s="81">
        <f t="shared" si="28"/>
        <v>0.2</v>
      </c>
      <c r="Q113" s="81">
        <f t="shared" si="28"/>
        <v>0.2</v>
      </c>
      <c r="R113" s="81">
        <f t="shared" si="28"/>
        <v>0.2</v>
      </c>
      <c r="S113" s="81">
        <f t="shared" si="28"/>
        <v>0.2</v>
      </c>
      <c r="T113" s="81">
        <f t="shared" si="28"/>
        <v>0.2</v>
      </c>
      <c r="U113" s="81">
        <f t="shared" si="28"/>
        <v>0.2</v>
      </c>
      <c r="V113" s="81">
        <f t="shared" si="28"/>
        <v>0.2</v>
      </c>
      <c r="W113" s="81">
        <f t="shared" si="28"/>
        <v>0.2</v>
      </c>
      <c r="X113" s="81">
        <f t="shared" si="28"/>
        <v>0.2</v>
      </c>
      <c r="Y113" s="81">
        <f t="shared" si="28"/>
        <v>0.2</v>
      </c>
    </row>
    <row r="114" spans="2:25" x14ac:dyDescent="0.2">
      <c r="C114" s="1" t="s">
        <v>296</v>
      </c>
      <c r="E114" s="80" t="s">
        <v>123</v>
      </c>
      <c r="F114" s="76">
        <v>1</v>
      </c>
      <c r="G114" s="81">
        <f>F114</f>
        <v>1</v>
      </c>
      <c r="H114" s="81">
        <f t="shared" ref="H114:Y114" si="29">G114</f>
        <v>1</v>
      </c>
      <c r="I114" s="81">
        <f t="shared" si="29"/>
        <v>1</v>
      </c>
      <c r="J114" s="81">
        <v>0.5</v>
      </c>
      <c r="K114" s="81">
        <f t="shared" si="29"/>
        <v>0.5</v>
      </c>
      <c r="L114" s="81">
        <f t="shared" si="29"/>
        <v>0.5</v>
      </c>
      <c r="M114" s="81">
        <f t="shared" si="29"/>
        <v>0.5</v>
      </c>
      <c r="N114" s="81">
        <v>0.2</v>
      </c>
      <c r="O114" s="81">
        <f t="shared" si="29"/>
        <v>0.2</v>
      </c>
      <c r="P114" s="81">
        <f t="shared" si="29"/>
        <v>0.2</v>
      </c>
      <c r="Q114" s="81">
        <f t="shared" si="29"/>
        <v>0.2</v>
      </c>
      <c r="R114" s="81">
        <f t="shared" si="29"/>
        <v>0.2</v>
      </c>
      <c r="S114" s="81">
        <f t="shared" si="29"/>
        <v>0.2</v>
      </c>
      <c r="T114" s="81">
        <f t="shared" si="29"/>
        <v>0.2</v>
      </c>
      <c r="U114" s="81">
        <f t="shared" si="29"/>
        <v>0.2</v>
      </c>
      <c r="V114" s="81">
        <f t="shared" si="29"/>
        <v>0.2</v>
      </c>
      <c r="W114" s="81">
        <f t="shared" si="29"/>
        <v>0.2</v>
      </c>
      <c r="X114" s="81">
        <f t="shared" si="29"/>
        <v>0.2</v>
      </c>
      <c r="Y114" s="81">
        <f t="shared" si="29"/>
        <v>0.2</v>
      </c>
    </row>
    <row r="115" spans="2:25" x14ac:dyDescent="0.2">
      <c r="C115" s="1" t="s">
        <v>324</v>
      </c>
      <c r="E115" s="80" t="s">
        <v>117</v>
      </c>
      <c r="F115" s="82">
        <f>F44*F113</f>
        <v>972</v>
      </c>
      <c r="G115" s="82">
        <f t="shared" ref="G115:Y115" si="30">G44*G113</f>
        <v>1466.2722255819408</v>
      </c>
      <c r="H115" s="82">
        <f t="shared" si="30"/>
        <v>2052.9076939794445</v>
      </c>
      <c r="I115" s="82">
        <f t="shared" si="30"/>
        <v>2470.4280261207</v>
      </c>
      <c r="J115" s="82">
        <f t="shared" si="30"/>
        <v>2303.9875840667742</v>
      </c>
      <c r="K115" s="82">
        <f t="shared" si="30"/>
        <v>3037.7932554489244</v>
      </c>
      <c r="L115" s="82">
        <f t="shared" si="30"/>
        <v>4783.2025228157436</v>
      </c>
      <c r="M115" s="82">
        <f t="shared" si="30"/>
        <v>6019.9580173434288</v>
      </c>
      <c r="N115" s="82">
        <f t="shared" si="30"/>
        <v>2850.5371791081329</v>
      </c>
      <c r="O115" s="82">
        <f t="shared" si="30"/>
        <v>3364.5884657311708</v>
      </c>
      <c r="P115" s="82">
        <f t="shared" si="30"/>
        <v>3713.4300876576426</v>
      </c>
      <c r="Q115" s="82">
        <f t="shared" si="30"/>
        <v>4132.5578465725184</v>
      </c>
      <c r="R115" s="82">
        <f t="shared" si="30"/>
        <v>4490.867209761429</v>
      </c>
      <c r="S115" s="82">
        <f t="shared" si="30"/>
        <v>4795.0749896040643</v>
      </c>
      <c r="T115" s="82">
        <f t="shared" si="30"/>
        <v>5106.0730284738438</v>
      </c>
      <c r="U115" s="82">
        <f t="shared" si="30"/>
        <v>5679.2283935617925</v>
      </c>
      <c r="V115" s="82">
        <f t="shared" si="30"/>
        <v>6007.3038771671745</v>
      </c>
      <c r="W115" s="82">
        <f t="shared" si="30"/>
        <v>6473.3512359654878</v>
      </c>
      <c r="X115" s="82">
        <f t="shared" si="30"/>
        <v>6949.9327332005114</v>
      </c>
      <c r="Y115" s="82">
        <f t="shared" si="30"/>
        <v>7504.2388660996312</v>
      </c>
    </row>
    <row r="116" spans="2:25" x14ac:dyDescent="0.2">
      <c r="C116" s="1" t="s">
        <v>325</v>
      </c>
      <c r="E116" s="80" t="s">
        <v>117</v>
      </c>
      <c r="F116" s="82">
        <f>F46*F114</f>
        <v>2892.8571428571427</v>
      </c>
      <c r="G116" s="82">
        <f t="shared" ref="G116:Y116" si="31">G46*G114</f>
        <v>4363.9054332795858</v>
      </c>
      <c r="H116" s="82">
        <f t="shared" si="31"/>
        <v>6109.8443273197745</v>
      </c>
      <c r="I116" s="82">
        <f t="shared" si="31"/>
        <v>7352.4643634544636</v>
      </c>
      <c r="J116" s="82">
        <f t="shared" si="31"/>
        <v>6857.1059049606383</v>
      </c>
      <c r="K116" s="82">
        <f t="shared" si="31"/>
        <v>9041.0513555027501</v>
      </c>
      <c r="L116" s="82">
        <f t="shared" si="31"/>
        <v>14235.721794094477</v>
      </c>
      <c r="M116" s="82">
        <f t="shared" si="31"/>
        <v>17916.541718284017</v>
      </c>
      <c r="N116" s="82">
        <f t="shared" si="31"/>
        <v>8483.7416044884922</v>
      </c>
      <c r="O116" s="82">
        <f t="shared" si="31"/>
        <v>10013.656148009439</v>
      </c>
      <c r="P116" s="82">
        <f t="shared" si="31"/>
        <v>11051.875260885841</v>
      </c>
      <c r="Q116" s="82">
        <f t="shared" si="31"/>
        <v>12299.279305275351</v>
      </c>
      <c r="R116" s="82">
        <f t="shared" si="31"/>
        <v>13365.676219528064</v>
      </c>
      <c r="S116" s="82">
        <f t="shared" si="31"/>
        <v>14271.056516678764</v>
      </c>
      <c r="T116" s="82">
        <f t="shared" si="31"/>
        <v>15196.645918076916</v>
      </c>
      <c r="U116" s="82">
        <f t="shared" si="31"/>
        <v>16902.465457029146</v>
      </c>
      <c r="V116" s="82">
        <f t="shared" si="31"/>
        <v>17878.880586807067</v>
      </c>
      <c r="W116" s="82">
        <f t="shared" si="31"/>
        <v>19265.92629751634</v>
      </c>
      <c r="X116" s="82">
        <f t="shared" si="31"/>
        <v>20684.323610715812</v>
      </c>
      <c r="Y116" s="82">
        <f t="shared" si="31"/>
        <v>22334.044244344139</v>
      </c>
    </row>
    <row r="117" spans="2:25" x14ac:dyDescent="0.2">
      <c r="C117" s="28" t="s">
        <v>38</v>
      </c>
      <c r="D117" s="27"/>
      <c r="E117" s="80" t="s">
        <v>117</v>
      </c>
      <c r="F117" s="123">
        <f>SUM(F115:F116)</f>
        <v>3864.8571428571427</v>
      </c>
      <c r="G117" s="123">
        <f t="shared" ref="G117:Y117" si="32">SUM(G115:G116)</f>
        <v>5830.1776588615267</v>
      </c>
      <c r="H117" s="123">
        <f t="shared" si="32"/>
        <v>8162.7520212992185</v>
      </c>
      <c r="I117" s="123">
        <f t="shared" si="32"/>
        <v>9822.8923895751632</v>
      </c>
      <c r="J117" s="123">
        <f t="shared" si="32"/>
        <v>9161.0934890274129</v>
      </c>
      <c r="K117" s="123">
        <f t="shared" si="32"/>
        <v>12078.844610951674</v>
      </c>
      <c r="L117" s="123">
        <f t="shared" si="32"/>
        <v>19018.924316910219</v>
      </c>
      <c r="M117" s="123">
        <f t="shared" si="32"/>
        <v>23936.499735627447</v>
      </c>
      <c r="N117" s="123">
        <f t="shared" si="32"/>
        <v>11334.278783596625</v>
      </c>
      <c r="O117" s="123">
        <f t="shared" si="32"/>
        <v>13378.24461374061</v>
      </c>
      <c r="P117" s="123">
        <f t="shared" si="32"/>
        <v>14765.305348543483</v>
      </c>
      <c r="Q117" s="123">
        <f t="shared" si="32"/>
        <v>16431.837151847871</v>
      </c>
      <c r="R117" s="123">
        <f t="shared" si="32"/>
        <v>17856.543429289493</v>
      </c>
      <c r="S117" s="123">
        <f t="shared" si="32"/>
        <v>19066.131506282829</v>
      </c>
      <c r="T117" s="123">
        <f t="shared" si="32"/>
        <v>20302.718946550762</v>
      </c>
      <c r="U117" s="123">
        <f t="shared" si="32"/>
        <v>22581.693850590938</v>
      </c>
      <c r="V117" s="123">
        <f t="shared" si="32"/>
        <v>23886.184463974241</v>
      </c>
      <c r="W117" s="123">
        <f t="shared" si="32"/>
        <v>25739.277533481829</v>
      </c>
      <c r="X117" s="123">
        <f t="shared" si="32"/>
        <v>27634.256343916324</v>
      </c>
      <c r="Y117" s="123">
        <f t="shared" si="32"/>
        <v>29838.283110443772</v>
      </c>
    </row>
    <row r="118" spans="2:25" x14ac:dyDescent="0.2">
      <c r="B118" s="36" t="s">
        <v>381</v>
      </c>
      <c r="C118" s="28"/>
      <c r="D118" s="27"/>
      <c r="E118" s="80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</row>
    <row r="119" spans="2:25" x14ac:dyDescent="0.2">
      <c r="C119" s="1" t="s">
        <v>299</v>
      </c>
      <c r="D119" s="27"/>
      <c r="E119" s="80" t="s">
        <v>123</v>
      </c>
      <c r="F119" s="76">
        <v>1</v>
      </c>
      <c r="G119" s="81">
        <f t="shared" ref="G119:Y119" si="33">F119</f>
        <v>1</v>
      </c>
      <c r="H119" s="81">
        <f t="shared" si="33"/>
        <v>1</v>
      </c>
      <c r="I119" s="81">
        <f t="shared" si="33"/>
        <v>1</v>
      </c>
      <c r="J119" s="81">
        <f t="shared" si="33"/>
        <v>1</v>
      </c>
      <c r="K119" s="81">
        <f t="shared" si="33"/>
        <v>1</v>
      </c>
      <c r="L119" s="81">
        <f t="shared" si="33"/>
        <v>1</v>
      </c>
      <c r="M119" s="81">
        <f t="shared" si="33"/>
        <v>1</v>
      </c>
      <c r="N119" s="81">
        <f t="shared" si="33"/>
        <v>1</v>
      </c>
      <c r="O119" s="81">
        <f t="shared" si="33"/>
        <v>1</v>
      </c>
      <c r="P119" s="81">
        <f t="shared" si="33"/>
        <v>1</v>
      </c>
      <c r="Q119" s="81">
        <f t="shared" si="33"/>
        <v>1</v>
      </c>
      <c r="R119" s="81">
        <f t="shared" si="33"/>
        <v>1</v>
      </c>
      <c r="S119" s="81">
        <f t="shared" si="33"/>
        <v>1</v>
      </c>
      <c r="T119" s="81">
        <f t="shared" si="33"/>
        <v>1</v>
      </c>
      <c r="U119" s="81">
        <f t="shared" si="33"/>
        <v>1</v>
      </c>
      <c r="V119" s="81">
        <f t="shared" si="33"/>
        <v>1</v>
      </c>
      <c r="W119" s="81">
        <f t="shared" si="33"/>
        <v>1</v>
      </c>
      <c r="X119" s="81">
        <f t="shared" si="33"/>
        <v>1</v>
      </c>
      <c r="Y119" s="81">
        <f t="shared" si="33"/>
        <v>1</v>
      </c>
    </row>
    <row r="120" spans="2:25" x14ac:dyDescent="0.2">
      <c r="C120" s="1" t="s">
        <v>382</v>
      </c>
      <c r="D120" s="27"/>
      <c r="E120" s="80" t="s">
        <v>117</v>
      </c>
      <c r="F120" s="151">
        <f>F119*F58</f>
        <v>170</v>
      </c>
      <c r="G120" s="151">
        <f t="shared" ref="G120:Y120" si="34">G119*G58</f>
        <v>173.1015821867569</v>
      </c>
      <c r="H120" s="151">
        <f t="shared" si="34"/>
        <v>176.2597515032856</v>
      </c>
      <c r="I120" s="151">
        <f t="shared" si="34"/>
        <v>179.47554035919612</v>
      </c>
      <c r="J120" s="151">
        <f t="shared" si="34"/>
        <v>202.09711187967457</v>
      </c>
      <c r="K120" s="151">
        <f t="shared" si="34"/>
        <v>205.90383090228525</v>
      </c>
      <c r="L120" s="151">
        <f t="shared" si="34"/>
        <v>209.78225362012608</v>
      </c>
      <c r="M120" s="151">
        <f t="shared" si="34"/>
        <v>213.73373065032399</v>
      </c>
      <c r="N120" s="151">
        <f t="shared" si="34"/>
        <v>216.87002653494051</v>
      </c>
      <c r="O120" s="151">
        <f t="shared" si="34"/>
        <v>220.0523439429073</v>
      </c>
      <c r="P120" s="151">
        <f t="shared" si="34"/>
        <v>223.28135818697845</v>
      </c>
      <c r="Q120" s="151">
        <f t="shared" si="34"/>
        <v>226.55775448934347</v>
      </c>
      <c r="R120" s="151">
        <f t="shared" si="34"/>
        <v>229.33812436415343</v>
      </c>
      <c r="S120" s="151">
        <f t="shared" si="34"/>
        <v>232.15261558986651</v>
      </c>
      <c r="T120" s="151">
        <f t="shared" si="34"/>
        <v>235.00164691170002</v>
      </c>
      <c r="U120" s="151">
        <f t="shared" si="34"/>
        <v>237.88564221381074</v>
      </c>
      <c r="V120" s="151">
        <f t="shared" si="34"/>
        <v>240.80503058236121</v>
      </c>
      <c r="W120" s="151">
        <f t="shared" si="34"/>
        <v>243.76024636935995</v>
      </c>
      <c r="X120" s="151">
        <f t="shared" si="34"/>
        <v>246.75172925728509</v>
      </c>
      <c r="Y120" s="151">
        <f t="shared" si="34"/>
        <v>249.77992432450134</v>
      </c>
    </row>
    <row r="121" spans="2:25" x14ac:dyDescent="0.2">
      <c r="B121" s="36" t="s">
        <v>383</v>
      </c>
      <c r="C121" s="28"/>
      <c r="D121" s="27"/>
      <c r="E121" s="8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</row>
    <row r="122" spans="2:25" x14ac:dyDescent="0.2">
      <c r="C122" s="1" t="s">
        <v>300</v>
      </c>
      <c r="D122" s="27"/>
      <c r="E122" s="80" t="s">
        <v>123</v>
      </c>
      <c r="F122" s="118">
        <v>1</v>
      </c>
      <c r="G122" s="119">
        <f t="shared" ref="G122:Y122" si="35">F122</f>
        <v>1</v>
      </c>
      <c r="H122" s="119">
        <f t="shared" si="35"/>
        <v>1</v>
      </c>
      <c r="I122" s="119">
        <f t="shared" si="35"/>
        <v>1</v>
      </c>
      <c r="J122" s="119">
        <f t="shared" si="35"/>
        <v>1</v>
      </c>
      <c r="K122" s="119">
        <f t="shared" si="35"/>
        <v>1</v>
      </c>
      <c r="L122" s="119">
        <f t="shared" si="35"/>
        <v>1</v>
      </c>
      <c r="M122" s="119">
        <f t="shared" si="35"/>
        <v>1</v>
      </c>
      <c r="N122" s="119">
        <f t="shared" si="35"/>
        <v>1</v>
      </c>
      <c r="O122" s="119">
        <f t="shared" si="35"/>
        <v>1</v>
      </c>
      <c r="P122" s="119">
        <f t="shared" si="35"/>
        <v>1</v>
      </c>
      <c r="Q122" s="119">
        <f t="shared" si="35"/>
        <v>1</v>
      </c>
      <c r="R122" s="119">
        <f t="shared" si="35"/>
        <v>1</v>
      </c>
      <c r="S122" s="119">
        <f t="shared" si="35"/>
        <v>1</v>
      </c>
      <c r="T122" s="119">
        <f t="shared" si="35"/>
        <v>1</v>
      </c>
      <c r="U122" s="119">
        <f t="shared" si="35"/>
        <v>1</v>
      </c>
      <c r="V122" s="119">
        <f t="shared" si="35"/>
        <v>1</v>
      </c>
      <c r="W122" s="119">
        <f t="shared" si="35"/>
        <v>1</v>
      </c>
      <c r="X122" s="119">
        <f t="shared" si="35"/>
        <v>1</v>
      </c>
      <c r="Y122" s="119">
        <f t="shared" si="35"/>
        <v>1</v>
      </c>
    </row>
    <row r="123" spans="2:25" x14ac:dyDescent="0.2">
      <c r="C123" s="1" t="s">
        <v>384</v>
      </c>
      <c r="D123" s="27"/>
      <c r="E123" s="80" t="s">
        <v>117</v>
      </c>
      <c r="F123" s="151">
        <f>F67*F122</f>
        <v>0</v>
      </c>
      <c r="G123" s="151">
        <f t="shared" ref="G123:Y123" si="36">G67*G122</f>
        <v>0</v>
      </c>
      <c r="H123" s="151">
        <f t="shared" si="36"/>
        <v>0</v>
      </c>
      <c r="I123" s="151">
        <f t="shared" si="36"/>
        <v>0</v>
      </c>
      <c r="J123" s="151">
        <f t="shared" si="36"/>
        <v>0</v>
      </c>
      <c r="K123" s="151">
        <f t="shared" si="36"/>
        <v>0</v>
      </c>
      <c r="L123" s="151">
        <f t="shared" si="36"/>
        <v>0</v>
      </c>
      <c r="M123" s="151">
        <f t="shared" si="36"/>
        <v>0</v>
      </c>
      <c r="N123" s="151">
        <f t="shared" si="36"/>
        <v>0</v>
      </c>
      <c r="O123" s="151">
        <f t="shared" si="36"/>
        <v>0</v>
      </c>
      <c r="P123" s="151">
        <f t="shared" si="36"/>
        <v>0</v>
      </c>
      <c r="Q123" s="151">
        <f t="shared" si="36"/>
        <v>0</v>
      </c>
      <c r="R123" s="151">
        <f t="shared" si="36"/>
        <v>0</v>
      </c>
      <c r="S123" s="151">
        <f t="shared" si="36"/>
        <v>0</v>
      </c>
      <c r="T123" s="151">
        <f t="shared" si="36"/>
        <v>0</v>
      </c>
      <c r="U123" s="151">
        <f t="shared" si="36"/>
        <v>0</v>
      </c>
      <c r="V123" s="151">
        <f t="shared" si="36"/>
        <v>0</v>
      </c>
      <c r="W123" s="151">
        <f t="shared" si="36"/>
        <v>0</v>
      </c>
      <c r="X123" s="151">
        <f t="shared" si="36"/>
        <v>0</v>
      </c>
      <c r="Y123" s="151">
        <f t="shared" si="36"/>
        <v>0</v>
      </c>
    </row>
    <row r="124" spans="2:25" x14ac:dyDescent="0.2">
      <c r="B124" s="36" t="s">
        <v>145</v>
      </c>
      <c r="C124" s="28"/>
      <c r="D124" s="27"/>
      <c r="E124" s="8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</row>
    <row r="125" spans="2:25" x14ac:dyDescent="0.2">
      <c r="C125" s="1" t="s">
        <v>301</v>
      </c>
      <c r="D125" s="27"/>
      <c r="E125" s="80" t="s">
        <v>123</v>
      </c>
      <c r="F125" s="118">
        <v>1</v>
      </c>
      <c r="G125" s="119">
        <f t="shared" ref="G125:Y125" si="37">F125</f>
        <v>1</v>
      </c>
      <c r="H125" s="119">
        <f t="shared" si="37"/>
        <v>1</v>
      </c>
      <c r="I125" s="119">
        <f t="shared" si="37"/>
        <v>1</v>
      </c>
      <c r="J125" s="119">
        <f t="shared" si="37"/>
        <v>1</v>
      </c>
      <c r="K125" s="119">
        <f t="shared" si="37"/>
        <v>1</v>
      </c>
      <c r="L125" s="119">
        <f t="shared" si="37"/>
        <v>1</v>
      </c>
      <c r="M125" s="119">
        <f t="shared" si="37"/>
        <v>1</v>
      </c>
      <c r="N125" s="119">
        <f t="shared" si="37"/>
        <v>1</v>
      </c>
      <c r="O125" s="119">
        <f t="shared" si="37"/>
        <v>1</v>
      </c>
      <c r="P125" s="119">
        <f t="shared" si="37"/>
        <v>1</v>
      </c>
      <c r="Q125" s="119">
        <f t="shared" si="37"/>
        <v>1</v>
      </c>
      <c r="R125" s="119">
        <f t="shared" si="37"/>
        <v>1</v>
      </c>
      <c r="S125" s="119">
        <f t="shared" si="37"/>
        <v>1</v>
      </c>
      <c r="T125" s="119">
        <f t="shared" si="37"/>
        <v>1</v>
      </c>
      <c r="U125" s="119">
        <f t="shared" si="37"/>
        <v>1</v>
      </c>
      <c r="V125" s="119">
        <f t="shared" si="37"/>
        <v>1</v>
      </c>
      <c r="W125" s="119">
        <f t="shared" si="37"/>
        <v>1</v>
      </c>
      <c r="X125" s="119">
        <f t="shared" si="37"/>
        <v>1</v>
      </c>
      <c r="Y125" s="119">
        <f t="shared" si="37"/>
        <v>1</v>
      </c>
    </row>
    <row r="126" spans="2:25" x14ac:dyDescent="0.2">
      <c r="C126" s="1" t="s">
        <v>386</v>
      </c>
      <c r="D126" s="27"/>
      <c r="E126" s="80" t="s">
        <v>117</v>
      </c>
      <c r="F126" s="82">
        <f>F78*F125</f>
        <v>500</v>
      </c>
      <c r="G126" s="82">
        <f t="shared" ref="G126:Y126" si="38">G78*G125</f>
        <v>509.122300549285</v>
      </c>
      <c r="H126" s="82">
        <f t="shared" si="38"/>
        <v>518.41103383319296</v>
      </c>
      <c r="I126" s="82">
        <f t="shared" si="38"/>
        <v>527.86923635057678</v>
      </c>
      <c r="J126" s="82">
        <f t="shared" si="38"/>
        <v>537.81222784005001</v>
      </c>
      <c r="K126" s="82">
        <f t="shared" si="38"/>
        <v>547.9425063941062</v>
      </c>
      <c r="L126" s="82">
        <f t="shared" si="38"/>
        <v>1200</v>
      </c>
      <c r="M126" s="82">
        <f t="shared" si="38"/>
        <v>1222.6033058297864</v>
      </c>
      <c r="N126" s="82">
        <f t="shared" si="38"/>
        <v>1240.543598664827</v>
      </c>
      <c r="O126" s="82">
        <f t="shared" si="38"/>
        <v>1258.7471445971496</v>
      </c>
      <c r="P126" s="82">
        <f t="shared" si="38"/>
        <v>1522.0107692529889</v>
      </c>
      <c r="Q126" s="82">
        <f t="shared" si="38"/>
        <v>1544.34452114805</v>
      </c>
      <c r="R126" s="82">
        <f t="shared" si="38"/>
        <v>1563.2970791507814</v>
      </c>
      <c r="S126" s="82">
        <f t="shared" si="38"/>
        <v>1582.4822273883524</v>
      </c>
      <c r="T126" s="82">
        <f t="shared" si="38"/>
        <v>1601.9028202626505</v>
      </c>
      <c r="U126" s="82">
        <f t="shared" si="38"/>
        <v>1621.561747205453</v>
      </c>
      <c r="V126" s="82">
        <f t="shared" si="38"/>
        <v>1641.4619331083209</v>
      </c>
      <c r="W126" s="82">
        <f t="shared" si="38"/>
        <v>1661.6063387577703</v>
      </c>
      <c r="X126" s="82">
        <f t="shared" si="38"/>
        <v>1681.9979612757834</v>
      </c>
      <c r="Y126" s="82">
        <f t="shared" si="38"/>
        <v>1702.639834565726</v>
      </c>
    </row>
    <row r="127" spans="2:25" x14ac:dyDescent="0.2">
      <c r="B127" s="27" t="s">
        <v>323</v>
      </c>
      <c r="E127" s="80" t="s">
        <v>117</v>
      </c>
      <c r="F127" s="123">
        <f>F111+F117+F120+F123+F126</f>
        <v>4534.8571428571431</v>
      </c>
      <c r="G127" s="123">
        <f t="shared" ref="G127:Y127" si="39">G111+G117+G120+G123+G126</f>
        <v>6512.4015415975682</v>
      </c>
      <c r="H127" s="123">
        <f t="shared" si="39"/>
        <v>8857.4228066356955</v>
      </c>
      <c r="I127" s="123">
        <f t="shared" si="39"/>
        <v>10530.237166284935</v>
      </c>
      <c r="J127" s="123">
        <f t="shared" si="39"/>
        <v>12372.539606871775</v>
      </c>
      <c r="K127" s="123">
        <f t="shared" si="39"/>
        <v>15686.527259473416</v>
      </c>
      <c r="L127" s="123">
        <f t="shared" si="39"/>
        <v>23906.413959623045</v>
      </c>
      <c r="M127" s="123">
        <f t="shared" si="39"/>
        <v>29380.734340308722</v>
      </c>
      <c r="N127" s="123">
        <f t="shared" si="39"/>
        <v>14916.179350098309</v>
      </c>
      <c r="O127" s="123">
        <f t="shared" si="39"/>
        <v>17393.116262122912</v>
      </c>
      <c r="P127" s="123">
        <f t="shared" si="39"/>
        <v>19392.677899682447</v>
      </c>
      <c r="Q127" s="123">
        <f t="shared" si="39"/>
        <v>21466.547048558994</v>
      </c>
      <c r="R127" s="123">
        <f t="shared" si="39"/>
        <v>22741.260927391355</v>
      </c>
      <c r="S127" s="123">
        <f t="shared" si="39"/>
        <v>24410.373579668263</v>
      </c>
      <c r="T127" s="123">
        <f t="shared" si="39"/>
        <v>26364.212085315467</v>
      </c>
      <c r="U127" s="123">
        <f t="shared" si="39"/>
        <v>28990.538914621244</v>
      </c>
      <c r="V127" s="123">
        <f t="shared" si="39"/>
        <v>29015.137836981197</v>
      </c>
      <c r="W127" s="123">
        <f t="shared" si="39"/>
        <v>31350.731710536533</v>
      </c>
      <c r="X127" s="123">
        <f t="shared" si="39"/>
        <v>33998.824139619268</v>
      </c>
      <c r="Y127" s="123">
        <f t="shared" si="39"/>
        <v>36567.570427675593</v>
      </c>
    </row>
    <row r="129" spans="1:25" x14ac:dyDescent="0.2">
      <c r="A129" s="25" t="s">
        <v>241</v>
      </c>
      <c r="E129" s="80"/>
    </row>
    <row r="130" spans="1:25" x14ac:dyDescent="0.2">
      <c r="B130" s="36" t="s">
        <v>35</v>
      </c>
      <c r="E130" s="80"/>
    </row>
    <row r="131" spans="1:25" x14ac:dyDescent="0.2">
      <c r="C131" s="1" t="s">
        <v>295</v>
      </c>
      <c r="E131" s="80" t="s">
        <v>123</v>
      </c>
      <c r="F131" s="76">
        <v>0</v>
      </c>
      <c r="G131" s="81">
        <f>F131</f>
        <v>0</v>
      </c>
      <c r="H131" s="81">
        <f t="shared" ref="H131:Y131" si="40">G131</f>
        <v>0</v>
      </c>
      <c r="I131" s="81">
        <f t="shared" si="40"/>
        <v>0</v>
      </c>
      <c r="J131" s="81">
        <f t="shared" si="40"/>
        <v>0</v>
      </c>
      <c r="K131" s="81">
        <f t="shared" si="40"/>
        <v>0</v>
      </c>
      <c r="L131" s="81">
        <f t="shared" si="40"/>
        <v>0</v>
      </c>
      <c r="M131" s="81">
        <f t="shared" si="40"/>
        <v>0</v>
      </c>
      <c r="N131" s="81">
        <f t="shared" si="40"/>
        <v>0</v>
      </c>
      <c r="O131" s="81">
        <f t="shared" si="40"/>
        <v>0</v>
      </c>
      <c r="P131" s="81">
        <f t="shared" si="40"/>
        <v>0</v>
      </c>
      <c r="Q131" s="81">
        <f t="shared" si="40"/>
        <v>0</v>
      </c>
      <c r="R131" s="81">
        <f t="shared" si="40"/>
        <v>0</v>
      </c>
      <c r="S131" s="81">
        <f t="shared" si="40"/>
        <v>0</v>
      </c>
      <c r="T131" s="81">
        <f t="shared" si="40"/>
        <v>0</v>
      </c>
      <c r="U131" s="81">
        <f t="shared" si="40"/>
        <v>0</v>
      </c>
      <c r="V131" s="81">
        <f t="shared" si="40"/>
        <v>0</v>
      </c>
      <c r="W131" s="81">
        <f t="shared" si="40"/>
        <v>0</v>
      </c>
      <c r="X131" s="81">
        <f t="shared" si="40"/>
        <v>0</v>
      </c>
      <c r="Y131" s="81">
        <f t="shared" si="40"/>
        <v>0</v>
      </c>
    </row>
    <row r="132" spans="1:25" x14ac:dyDescent="0.2">
      <c r="C132" s="1" t="s">
        <v>296</v>
      </c>
      <c r="E132" s="80" t="s">
        <v>123</v>
      </c>
      <c r="F132" s="76">
        <v>0</v>
      </c>
      <c r="G132" s="81">
        <f>F132</f>
        <v>0</v>
      </c>
      <c r="H132" s="81">
        <f t="shared" ref="H132:Y132" si="41">G132</f>
        <v>0</v>
      </c>
      <c r="I132" s="81">
        <f t="shared" si="41"/>
        <v>0</v>
      </c>
      <c r="J132" s="81">
        <f t="shared" si="41"/>
        <v>0</v>
      </c>
      <c r="K132" s="81">
        <f t="shared" si="41"/>
        <v>0</v>
      </c>
      <c r="L132" s="81">
        <f t="shared" si="41"/>
        <v>0</v>
      </c>
      <c r="M132" s="81">
        <f t="shared" si="41"/>
        <v>0</v>
      </c>
      <c r="N132" s="81">
        <f t="shared" si="41"/>
        <v>0</v>
      </c>
      <c r="O132" s="81">
        <f t="shared" si="41"/>
        <v>0</v>
      </c>
      <c r="P132" s="81">
        <f t="shared" si="41"/>
        <v>0</v>
      </c>
      <c r="Q132" s="81">
        <f t="shared" si="41"/>
        <v>0</v>
      </c>
      <c r="R132" s="81">
        <f t="shared" si="41"/>
        <v>0</v>
      </c>
      <c r="S132" s="81">
        <f t="shared" si="41"/>
        <v>0</v>
      </c>
      <c r="T132" s="81">
        <f t="shared" si="41"/>
        <v>0</v>
      </c>
      <c r="U132" s="81">
        <f t="shared" si="41"/>
        <v>0</v>
      </c>
      <c r="V132" s="81">
        <f t="shared" si="41"/>
        <v>0</v>
      </c>
      <c r="W132" s="81">
        <f t="shared" si="41"/>
        <v>0</v>
      </c>
      <c r="X132" s="81">
        <f t="shared" si="41"/>
        <v>0</v>
      </c>
      <c r="Y132" s="81">
        <f t="shared" si="41"/>
        <v>0</v>
      </c>
    </row>
    <row r="133" spans="1:25" x14ac:dyDescent="0.2">
      <c r="C133" s="1" t="s">
        <v>297</v>
      </c>
      <c r="E133" s="80" t="s">
        <v>123</v>
      </c>
      <c r="F133" s="76">
        <v>0</v>
      </c>
      <c r="G133" s="81">
        <f>F133</f>
        <v>0</v>
      </c>
      <c r="H133" s="81">
        <f t="shared" ref="H133:Y133" si="42">G133</f>
        <v>0</v>
      </c>
      <c r="I133" s="81">
        <f t="shared" si="42"/>
        <v>0</v>
      </c>
      <c r="J133" s="81">
        <f t="shared" si="42"/>
        <v>0</v>
      </c>
      <c r="K133" s="81">
        <f t="shared" si="42"/>
        <v>0</v>
      </c>
      <c r="L133" s="81">
        <f t="shared" si="42"/>
        <v>0</v>
      </c>
      <c r="M133" s="81">
        <f t="shared" si="42"/>
        <v>0</v>
      </c>
      <c r="N133" s="81">
        <f t="shared" si="42"/>
        <v>0</v>
      </c>
      <c r="O133" s="81">
        <f t="shared" si="42"/>
        <v>0</v>
      </c>
      <c r="P133" s="81">
        <f t="shared" si="42"/>
        <v>0</v>
      </c>
      <c r="Q133" s="81">
        <f t="shared" si="42"/>
        <v>0</v>
      </c>
      <c r="R133" s="81">
        <f t="shared" si="42"/>
        <v>0</v>
      </c>
      <c r="S133" s="81">
        <f t="shared" si="42"/>
        <v>0</v>
      </c>
      <c r="T133" s="81">
        <f t="shared" si="42"/>
        <v>0</v>
      </c>
      <c r="U133" s="81">
        <f t="shared" si="42"/>
        <v>0</v>
      </c>
      <c r="V133" s="81">
        <f t="shared" si="42"/>
        <v>0</v>
      </c>
      <c r="W133" s="81">
        <f t="shared" si="42"/>
        <v>0</v>
      </c>
      <c r="X133" s="81">
        <f t="shared" si="42"/>
        <v>0</v>
      </c>
      <c r="Y133" s="81">
        <f t="shared" si="42"/>
        <v>0</v>
      </c>
    </row>
    <row r="134" spans="1:25" x14ac:dyDescent="0.2">
      <c r="C134" s="1" t="s">
        <v>298</v>
      </c>
      <c r="E134" s="80" t="s">
        <v>123</v>
      </c>
      <c r="F134" s="76">
        <v>0</v>
      </c>
      <c r="G134" s="81">
        <f>F134</f>
        <v>0</v>
      </c>
      <c r="H134" s="81">
        <f t="shared" ref="H134:Y134" si="43">G134</f>
        <v>0</v>
      </c>
      <c r="I134" s="81">
        <f t="shared" si="43"/>
        <v>0</v>
      </c>
      <c r="J134" s="81">
        <f t="shared" si="43"/>
        <v>0</v>
      </c>
      <c r="K134" s="81">
        <f t="shared" si="43"/>
        <v>0</v>
      </c>
      <c r="L134" s="81">
        <f t="shared" si="43"/>
        <v>0</v>
      </c>
      <c r="M134" s="81">
        <f t="shared" si="43"/>
        <v>0</v>
      </c>
      <c r="N134" s="81">
        <f t="shared" si="43"/>
        <v>0</v>
      </c>
      <c r="O134" s="81">
        <f t="shared" si="43"/>
        <v>0</v>
      </c>
      <c r="P134" s="81">
        <f t="shared" si="43"/>
        <v>0</v>
      </c>
      <c r="Q134" s="81">
        <f t="shared" si="43"/>
        <v>0</v>
      </c>
      <c r="R134" s="81">
        <f t="shared" si="43"/>
        <v>0</v>
      </c>
      <c r="S134" s="81">
        <f t="shared" si="43"/>
        <v>0</v>
      </c>
      <c r="T134" s="81">
        <f t="shared" si="43"/>
        <v>0</v>
      </c>
      <c r="U134" s="81">
        <f t="shared" si="43"/>
        <v>0</v>
      </c>
      <c r="V134" s="81">
        <f t="shared" si="43"/>
        <v>0</v>
      </c>
      <c r="W134" s="81">
        <f t="shared" si="43"/>
        <v>0</v>
      </c>
      <c r="X134" s="81">
        <f t="shared" si="43"/>
        <v>0</v>
      </c>
      <c r="Y134" s="81">
        <f t="shared" si="43"/>
        <v>0</v>
      </c>
    </row>
    <row r="135" spans="1:25" x14ac:dyDescent="0.2">
      <c r="C135" s="1" t="s">
        <v>387</v>
      </c>
      <c r="E135" s="80" t="s">
        <v>117</v>
      </c>
      <c r="F135" s="82">
        <f>F35*F131</f>
        <v>0</v>
      </c>
      <c r="G135" s="82">
        <f t="shared" ref="G135:Y135" si="44">G35*G131</f>
        <v>0</v>
      </c>
      <c r="H135" s="82">
        <f t="shared" si="44"/>
        <v>0</v>
      </c>
      <c r="I135" s="82">
        <f t="shared" si="44"/>
        <v>0</v>
      </c>
      <c r="J135" s="82">
        <f t="shared" si="44"/>
        <v>0</v>
      </c>
      <c r="K135" s="82">
        <f t="shared" si="44"/>
        <v>0</v>
      </c>
      <c r="L135" s="82">
        <f t="shared" si="44"/>
        <v>0</v>
      </c>
      <c r="M135" s="82">
        <f t="shared" si="44"/>
        <v>0</v>
      </c>
      <c r="N135" s="82">
        <f t="shared" si="44"/>
        <v>0</v>
      </c>
      <c r="O135" s="82">
        <f t="shared" si="44"/>
        <v>0</v>
      </c>
      <c r="P135" s="82">
        <f t="shared" si="44"/>
        <v>0</v>
      </c>
      <c r="Q135" s="82">
        <f t="shared" si="44"/>
        <v>0</v>
      </c>
      <c r="R135" s="82">
        <f t="shared" si="44"/>
        <v>0</v>
      </c>
      <c r="S135" s="82">
        <f t="shared" si="44"/>
        <v>0</v>
      </c>
      <c r="T135" s="82">
        <f t="shared" si="44"/>
        <v>0</v>
      </c>
      <c r="U135" s="82">
        <f t="shared" si="44"/>
        <v>0</v>
      </c>
      <c r="V135" s="82">
        <f t="shared" si="44"/>
        <v>0</v>
      </c>
      <c r="W135" s="82">
        <f t="shared" si="44"/>
        <v>0</v>
      </c>
      <c r="X135" s="82">
        <f t="shared" si="44"/>
        <v>0</v>
      </c>
      <c r="Y135" s="82">
        <f t="shared" si="44"/>
        <v>0</v>
      </c>
    </row>
    <row r="136" spans="1:25" x14ac:dyDescent="0.2">
      <c r="C136" s="1" t="s">
        <v>388</v>
      </c>
      <c r="E136" s="80" t="s">
        <v>117</v>
      </c>
      <c r="F136" s="82">
        <f>F37*F132</f>
        <v>0</v>
      </c>
      <c r="G136" s="82">
        <f t="shared" ref="G136:Y136" si="45">G37*G132</f>
        <v>0</v>
      </c>
      <c r="H136" s="82">
        <f t="shared" si="45"/>
        <v>0</v>
      </c>
      <c r="I136" s="82">
        <f t="shared" si="45"/>
        <v>0</v>
      </c>
      <c r="J136" s="82">
        <f t="shared" si="45"/>
        <v>0</v>
      </c>
      <c r="K136" s="82">
        <f t="shared" si="45"/>
        <v>0</v>
      </c>
      <c r="L136" s="82">
        <f t="shared" si="45"/>
        <v>0</v>
      </c>
      <c r="M136" s="82">
        <f t="shared" si="45"/>
        <v>0</v>
      </c>
      <c r="N136" s="82">
        <f t="shared" si="45"/>
        <v>0</v>
      </c>
      <c r="O136" s="82">
        <f t="shared" si="45"/>
        <v>0</v>
      </c>
      <c r="P136" s="82">
        <f t="shared" si="45"/>
        <v>0</v>
      </c>
      <c r="Q136" s="82">
        <f t="shared" si="45"/>
        <v>0</v>
      </c>
      <c r="R136" s="82">
        <f t="shared" si="45"/>
        <v>0</v>
      </c>
      <c r="S136" s="82">
        <f t="shared" si="45"/>
        <v>0</v>
      </c>
      <c r="T136" s="82">
        <f t="shared" si="45"/>
        <v>0</v>
      </c>
      <c r="U136" s="82">
        <f t="shared" si="45"/>
        <v>0</v>
      </c>
      <c r="V136" s="82">
        <f t="shared" si="45"/>
        <v>0</v>
      </c>
      <c r="W136" s="82">
        <f t="shared" si="45"/>
        <v>0</v>
      </c>
      <c r="X136" s="82">
        <f t="shared" si="45"/>
        <v>0</v>
      </c>
      <c r="Y136" s="82">
        <f t="shared" si="45"/>
        <v>0</v>
      </c>
    </row>
    <row r="137" spans="1:25" x14ac:dyDescent="0.2">
      <c r="C137" s="1" t="s">
        <v>389</v>
      </c>
      <c r="E137" s="80" t="s">
        <v>117</v>
      </c>
      <c r="F137" s="82">
        <f>F39*F133</f>
        <v>0</v>
      </c>
      <c r="G137" s="82">
        <f t="shared" ref="G137:Y137" si="46">G39*G133</f>
        <v>0</v>
      </c>
      <c r="H137" s="82">
        <f t="shared" si="46"/>
        <v>0</v>
      </c>
      <c r="I137" s="82">
        <f t="shared" si="46"/>
        <v>0</v>
      </c>
      <c r="J137" s="82">
        <f t="shared" si="46"/>
        <v>0</v>
      </c>
      <c r="K137" s="82">
        <f t="shared" si="46"/>
        <v>0</v>
      </c>
      <c r="L137" s="82">
        <f t="shared" si="46"/>
        <v>0</v>
      </c>
      <c r="M137" s="82">
        <f t="shared" si="46"/>
        <v>0</v>
      </c>
      <c r="N137" s="82">
        <f t="shared" si="46"/>
        <v>0</v>
      </c>
      <c r="O137" s="82">
        <f t="shared" si="46"/>
        <v>0</v>
      </c>
      <c r="P137" s="82">
        <f t="shared" si="46"/>
        <v>0</v>
      </c>
      <c r="Q137" s="82">
        <f t="shared" si="46"/>
        <v>0</v>
      </c>
      <c r="R137" s="82">
        <f t="shared" si="46"/>
        <v>0</v>
      </c>
      <c r="S137" s="82">
        <f t="shared" si="46"/>
        <v>0</v>
      </c>
      <c r="T137" s="82">
        <f t="shared" si="46"/>
        <v>0</v>
      </c>
      <c r="U137" s="82">
        <f t="shared" si="46"/>
        <v>0</v>
      </c>
      <c r="V137" s="82">
        <f t="shared" si="46"/>
        <v>0</v>
      </c>
      <c r="W137" s="82">
        <f t="shared" si="46"/>
        <v>0</v>
      </c>
      <c r="X137" s="82">
        <f t="shared" si="46"/>
        <v>0</v>
      </c>
      <c r="Y137" s="82">
        <f t="shared" si="46"/>
        <v>0</v>
      </c>
    </row>
    <row r="138" spans="1:25" x14ac:dyDescent="0.2">
      <c r="C138" s="1" t="s">
        <v>390</v>
      </c>
      <c r="E138" s="80" t="s">
        <v>117</v>
      </c>
      <c r="F138" s="82">
        <f>F41*F134</f>
        <v>0</v>
      </c>
      <c r="G138" s="82">
        <f t="shared" ref="G138:Y138" si="47">G41*G134</f>
        <v>0</v>
      </c>
      <c r="H138" s="82">
        <f t="shared" si="47"/>
        <v>0</v>
      </c>
      <c r="I138" s="82">
        <f t="shared" si="47"/>
        <v>0</v>
      </c>
      <c r="J138" s="82">
        <f t="shared" si="47"/>
        <v>0</v>
      </c>
      <c r="K138" s="82">
        <f t="shared" si="47"/>
        <v>0</v>
      </c>
      <c r="L138" s="82">
        <f t="shared" si="47"/>
        <v>0</v>
      </c>
      <c r="M138" s="82">
        <f t="shared" si="47"/>
        <v>0</v>
      </c>
      <c r="N138" s="82">
        <f t="shared" si="47"/>
        <v>0</v>
      </c>
      <c r="O138" s="82">
        <f t="shared" si="47"/>
        <v>0</v>
      </c>
      <c r="P138" s="82">
        <f t="shared" si="47"/>
        <v>0</v>
      </c>
      <c r="Q138" s="82">
        <f t="shared" si="47"/>
        <v>0</v>
      </c>
      <c r="R138" s="82">
        <f t="shared" si="47"/>
        <v>0</v>
      </c>
      <c r="S138" s="82">
        <f t="shared" si="47"/>
        <v>0</v>
      </c>
      <c r="T138" s="82">
        <f t="shared" si="47"/>
        <v>0</v>
      </c>
      <c r="U138" s="82">
        <f t="shared" si="47"/>
        <v>0</v>
      </c>
      <c r="V138" s="82">
        <f t="shared" si="47"/>
        <v>0</v>
      </c>
      <c r="W138" s="82">
        <f t="shared" si="47"/>
        <v>0</v>
      </c>
      <c r="X138" s="82">
        <f t="shared" si="47"/>
        <v>0</v>
      </c>
      <c r="Y138" s="82">
        <f t="shared" si="47"/>
        <v>0</v>
      </c>
    </row>
    <row r="139" spans="1:25" x14ac:dyDescent="0.2">
      <c r="A139" s="27"/>
      <c r="B139" s="27"/>
      <c r="C139" s="28" t="s">
        <v>41</v>
      </c>
      <c r="D139" s="27"/>
      <c r="E139" s="80" t="s">
        <v>117</v>
      </c>
      <c r="F139" s="123">
        <f t="shared" ref="F139:Y139" si="48">SUM(F135:F138)</f>
        <v>0</v>
      </c>
      <c r="G139" s="123">
        <f t="shared" si="48"/>
        <v>0</v>
      </c>
      <c r="H139" s="123">
        <f t="shared" si="48"/>
        <v>0</v>
      </c>
      <c r="I139" s="123">
        <f t="shared" si="48"/>
        <v>0</v>
      </c>
      <c r="J139" s="123">
        <f t="shared" si="48"/>
        <v>0</v>
      </c>
      <c r="K139" s="123">
        <f t="shared" si="48"/>
        <v>0</v>
      </c>
      <c r="L139" s="123">
        <f t="shared" si="48"/>
        <v>0</v>
      </c>
      <c r="M139" s="123">
        <f t="shared" si="48"/>
        <v>0</v>
      </c>
      <c r="N139" s="123">
        <f t="shared" si="48"/>
        <v>0</v>
      </c>
      <c r="O139" s="123">
        <f t="shared" si="48"/>
        <v>0</v>
      </c>
      <c r="P139" s="123">
        <f t="shared" si="48"/>
        <v>0</v>
      </c>
      <c r="Q139" s="123">
        <f t="shared" si="48"/>
        <v>0</v>
      </c>
      <c r="R139" s="123">
        <f t="shared" si="48"/>
        <v>0</v>
      </c>
      <c r="S139" s="123">
        <f t="shared" si="48"/>
        <v>0</v>
      </c>
      <c r="T139" s="123">
        <f t="shared" si="48"/>
        <v>0</v>
      </c>
      <c r="U139" s="123">
        <f t="shared" si="48"/>
        <v>0</v>
      </c>
      <c r="V139" s="123">
        <f t="shared" si="48"/>
        <v>0</v>
      </c>
      <c r="W139" s="123">
        <f t="shared" si="48"/>
        <v>0</v>
      </c>
      <c r="X139" s="123">
        <f t="shared" si="48"/>
        <v>0</v>
      </c>
      <c r="Y139" s="123">
        <f t="shared" si="48"/>
        <v>0</v>
      </c>
    </row>
    <row r="140" spans="1:25" x14ac:dyDescent="0.2">
      <c r="B140" s="36" t="s">
        <v>522</v>
      </c>
    </row>
    <row r="141" spans="1:25" x14ac:dyDescent="0.2">
      <c r="C141" s="1" t="s">
        <v>295</v>
      </c>
      <c r="E141" s="80" t="s">
        <v>123</v>
      </c>
      <c r="F141" s="76">
        <v>0</v>
      </c>
      <c r="G141" s="81">
        <f>F141</f>
        <v>0</v>
      </c>
      <c r="H141" s="81">
        <f t="shared" ref="H141:Y141" si="49">G141</f>
        <v>0</v>
      </c>
      <c r="I141" s="81">
        <f t="shared" si="49"/>
        <v>0</v>
      </c>
      <c r="J141" s="81">
        <f t="shared" si="49"/>
        <v>0</v>
      </c>
      <c r="K141" s="81">
        <f t="shared" si="49"/>
        <v>0</v>
      </c>
      <c r="L141" s="81">
        <f t="shared" si="49"/>
        <v>0</v>
      </c>
      <c r="M141" s="81">
        <f t="shared" si="49"/>
        <v>0</v>
      </c>
      <c r="N141" s="81">
        <f t="shared" si="49"/>
        <v>0</v>
      </c>
      <c r="O141" s="81">
        <f t="shared" si="49"/>
        <v>0</v>
      </c>
      <c r="P141" s="81">
        <f t="shared" si="49"/>
        <v>0</v>
      </c>
      <c r="Q141" s="81">
        <f t="shared" si="49"/>
        <v>0</v>
      </c>
      <c r="R141" s="81">
        <f t="shared" si="49"/>
        <v>0</v>
      </c>
      <c r="S141" s="81">
        <f t="shared" si="49"/>
        <v>0</v>
      </c>
      <c r="T141" s="81">
        <f t="shared" si="49"/>
        <v>0</v>
      </c>
      <c r="U141" s="81">
        <f t="shared" si="49"/>
        <v>0</v>
      </c>
      <c r="V141" s="81">
        <f t="shared" si="49"/>
        <v>0</v>
      </c>
      <c r="W141" s="81">
        <f t="shared" si="49"/>
        <v>0</v>
      </c>
      <c r="X141" s="81">
        <f t="shared" si="49"/>
        <v>0</v>
      </c>
      <c r="Y141" s="81">
        <f t="shared" si="49"/>
        <v>0</v>
      </c>
    </row>
    <row r="142" spans="1:25" x14ac:dyDescent="0.2">
      <c r="C142" s="1" t="s">
        <v>296</v>
      </c>
      <c r="E142" s="80" t="s">
        <v>123</v>
      </c>
      <c r="F142" s="76">
        <v>0</v>
      </c>
      <c r="G142" s="81">
        <f>F142</f>
        <v>0</v>
      </c>
      <c r="H142" s="81">
        <f t="shared" ref="H142:Y142" si="50">G142</f>
        <v>0</v>
      </c>
      <c r="I142" s="81">
        <f t="shared" si="50"/>
        <v>0</v>
      </c>
      <c r="J142" s="81">
        <f t="shared" si="50"/>
        <v>0</v>
      </c>
      <c r="K142" s="81">
        <f t="shared" si="50"/>
        <v>0</v>
      </c>
      <c r="L142" s="81">
        <f t="shared" si="50"/>
        <v>0</v>
      </c>
      <c r="M142" s="81">
        <f t="shared" si="50"/>
        <v>0</v>
      </c>
      <c r="N142" s="81">
        <f t="shared" si="50"/>
        <v>0</v>
      </c>
      <c r="O142" s="81">
        <f t="shared" si="50"/>
        <v>0</v>
      </c>
      <c r="P142" s="81">
        <f t="shared" si="50"/>
        <v>0</v>
      </c>
      <c r="Q142" s="81">
        <f t="shared" si="50"/>
        <v>0</v>
      </c>
      <c r="R142" s="81">
        <f t="shared" si="50"/>
        <v>0</v>
      </c>
      <c r="S142" s="81">
        <f t="shared" si="50"/>
        <v>0</v>
      </c>
      <c r="T142" s="81">
        <f t="shared" si="50"/>
        <v>0</v>
      </c>
      <c r="U142" s="81">
        <f t="shared" si="50"/>
        <v>0</v>
      </c>
      <c r="V142" s="81">
        <f t="shared" si="50"/>
        <v>0</v>
      </c>
      <c r="W142" s="81">
        <f t="shared" si="50"/>
        <v>0</v>
      </c>
      <c r="X142" s="81">
        <f t="shared" si="50"/>
        <v>0</v>
      </c>
      <c r="Y142" s="81">
        <f t="shared" si="50"/>
        <v>0</v>
      </c>
    </row>
    <row r="143" spans="1:25" x14ac:dyDescent="0.2">
      <c r="C143" s="1" t="s">
        <v>387</v>
      </c>
      <c r="E143" s="80" t="s">
        <v>117</v>
      </c>
      <c r="F143" s="82">
        <f>F44*F141</f>
        <v>0</v>
      </c>
      <c r="G143" s="82">
        <f t="shared" ref="G143:Y143" si="51">G44*G141</f>
        <v>0</v>
      </c>
      <c r="H143" s="82">
        <f t="shared" si="51"/>
        <v>0</v>
      </c>
      <c r="I143" s="82">
        <f t="shared" si="51"/>
        <v>0</v>
      </c>
      <c r="J143" s="82">
        <f t="shared" si="51"/>
        <v>0</v>
      </c>
      <c r="K143" s="82">
        <f t="shared" si="51"/>
        <v>0</v>
      </c>
      <c r="L143" s="82">
        <f t="shared" si="51"/>
        <v>0</v>
      </c>
      <c r="M143" s="82">
        <f t="shared" si="51"/>
        <v>0</v>
      </c>
      <c r="N143" s="82">
        <f t="shared" si="51"/>
        <v>0</v>
      </c>
      <c r="O143" s="82">
        <f t="shared" si="51"/>
        <v>0</v>
      </c>
      <c r="P143" s="82">
        <f t="shared" si="51"/>
        <v>0</v>
      </c>
      <c r="Q143" s="82">
        <f t="shared" si="51"/>
        <v>0</v>
      </c>
      <c r="R143" s="82">
        <f t="shared" si="51"/>
        <v>0</v>
      </c>
      <c r="S143" s="82">
        <f t="shared" si="51"/>
        <v>0</v>
      </c>
      <c r="T143" s="82">
        <f t="shared" si="51"/>
        <v>0</v>
      </c>
      <c r="U143" s="82">
        <f t="shared" si="51"/>
        <v>0</v>
      </c>
      <c r="V143" s="82">
        <f t="shared" si="51"/>
        <v>0</v>
      </c>
      <c r="W143" s="82">
        <f t="shared" si="51"/>
        <v>0</v>
      </c>
      <c r="X143" s="82">
        <f t="shared" si="51"/>
        <v>0</v>
      </c>
      <c r="Y143" s="82">
        <f t="shared" si="51"/>
        <v>0</v>
      </c>
    </row>
    <row r="144" spans="1:25" x14ac:dyDescent="0.2">
      <c r="C144" s="1" t="s">
        <v>388</v>
      </c>
      <c r="E144" s="80" t="s">
        <v>117</v>
      </c>
      <c r="F144" s="82">
        <f>F46*F142</f>
        <v>0</v>
      </c>
      <c r="G144" s="82">
        <f t="shared" ref="G144:Y144" si="52">G46*G142</f>
        <v>0</v>
      </c>
      <c r="H144" s="82">
        <f t="shared" si="52"/>
        <v>0</v>
      </c>
      <c r="I144" s="82">
        <f t="shared" si="52"/>
        <v>0</v>
      </c>
      <c r="J144" s="82">
        <f t="shared" si="52"/>
        <v>0</v>
      </c>
      <c r="K144" s="82">
        <f t="shared" si="52"/>
        <v>0</v>
      </c>
      <c r="L144" s="82">
        <f t="shared" si="52"/>
        <v>0</v>
      </c>
      <c r="M144" s="82">
        <f t="shared" si="52"/>
        <v>0</v>
      </c>
      <c r="N144" s="82">
        <f t="shared" si="52"/>
        <v>0</v>
      </c>
      <c r="O144" s="82">
        <f t="shared" si="52"/>
        <v>0</v>
      </c>
      <c r="P144" s="82">
        <f t="shared" si="52"/>
        <v>0</v>
      </c>
      <c r="Q144" s="82">
        <f t="shared" si="52"/>
        <v>0</v>
      </c>
      <c r="R144" s="82">
        <f t="shared" si="52"/>
        <v>0</v>
      </c>
      <c r="S144" s="82">
        <f t="shared" si="52"/>
        <v>0</v>
      </c>
      <c r="T144" s="82">
        <f t="shared" si="52"/>
        <v>0</v>
      </c>
      <c r="U144" s="82">
        <f t="shared" si="52"/>
        <v>0</v>
      </c>
      <c r="V144" s="82">
        <f t="shared" si="52"/>
        <v>0</v>
      </c>
      <c r="W144" s="82">
        <f t="shared" si="52"/>
        <v>0</v>
      </c>
      <c r="X144" s="82">
        <f t="shared" si="52"/>
        <v>0</v>
      </c>
      <c r="Y144" s="82">
        <f t="shared" si="52"/>
        <v>0</v>
      </c>
    </row>
    <row r="145" spans="2:25" x14ac:dyDescent="0.2">
      <c r="C145" s="28" t="s">
        <v>39</v>
      </c>
      <c r="D145" s="27"/>
      <c r="E145" s="80" t="s">
        <v>117</v>
      </c>
      <c r="F145" s="152">
        <f t="shared" ref="F145:Y145" si="53">SUM(F143:F144)</f>
        <v>0</v>
      </c>
      <c r="G145" s="152">
        <f t="shared" si="53"/>
        <v>0</v>
      </c>
      <c r="H145" s="152">
        <f t="shared" si="53"/>
        <v>0</v>
      </c>
      <c r="I145" s="152">
        <f t="shared" si="53"/>
        <v>0</v>
      </c>
      <c r="J145" s="152">
        <f t="shared" si="53"/>
        <v>0</v>
      </c>
      <c r="K145" s="152">
        <f t="shared" si="53"/>
        <v>0</v>
      </c>
      <c r="L145" s="152">
        <f t="shared" si="53"/>
        <v>0</v>
      </c>
      <c r="M145" s="152">
        <f t="shared" si="53"/>
        <v>0</v>
      </c>
      <c r="N145" s="152">
        <f t="shared" si="53"/>
        <v>0</v>
      </c>
      <c r="O145" s="152">
        <f t="shared" si="53"/>
        <v>0</v>
      </c>
      <c r="P145" s="152">
        <f t="shared" si="53"/>
        <v>0</v>
      </c>
      <c r="Q145" s="152">
        <f t="shared" si="53"/>
        <v>0</v>
      </c>
      <c r="R145" s="152">
        <f t="shared" si="53"/>
        <v>0</v>
      </c>
      <c r="S145" s="152">
        <f t="shared" si="53"/>
        <v>0</v>
      </c>
      <c r="T145" s="152">
        <f t="shared" si="53"/>
        <v>0</v>
      </c>
      <c r="U145" s="152">
        <f t="shared" si="53"/>
        <v>0</v>
      </c>
      <c r="V145" s="152">
        <f t="shared" si="53"/>
        <v>0</v>
      </c>
      <c r="W145" s="152">
        <f t="shared" si="53"/>
        <v>0</v>
      </c>
      <c r="X145" s="152">
        <f t="shared" si="53"/>
        <v>0</v>
      </c>
      <c r="Y145" s="152">
        <f t="shared" si="53"/>
        <v>0</v>
      </c>
    </row>
    <row r="146" spans="2:25" x14ac:dyDescent="0.2">
      <c r="B146" s="36" t="s">
        <v>381</v>
      </c>
      <c r="C146" s="28"/>
      <c r="D146" s="27"/>
      <c r="E146" s="8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</row>
    <row r="147" spans="2:25" x14ac:dyDescent="0.2">
      <c r="C147" s="1" t="s">
        <v>299</v>
      </c>
      <c r="D147" s="27"/>
      <c r="E147" s="80" t="s">
        <v>123</v>
      </c>
      <c r="F147" s="118">
        <v>0</v>
      </c>
      <c r="G147" s="119">
        <f t="shared" ref="G147:Y147" si="54">F147</f>
        <v>0</v>
      </c>
      <c r="H147" s="119">
        <f t="shared" si="54"/>
        <v>0</v>
      </c>
      <c r="I147" s="119">
        <f t="shared" si="54"/>
        <v>0</v>
      </c>
      <c r="J147" s="119">
        <f t="shared" si="54"/>
        <v>0</v>
      </c>
      <c r="K147" s="119">
        <f t="shared" si="54"/>
        <v>0</v>
      </c>
      <c r="L147" s="119">
        <f t="shared" si="54"/>
        <v>0</v>
      </c>
      <c r="M147" s="119">
        <f t="shared" si="54"/>
        <v>0</v>
      </c>
      <c r="N147" s="119">
        <f t="shared" si="54"/>
        <v>0</v>
      </c>
      <c r="O147" s="119">
        <f t="shared" si="54"/>
        <v>0</v>
      </c>
      <c r="P147" s="119">
        <f t="shared" si="54"/>
        <v>0</v>
      </c>
      <c r="Q147" s="119">
        <f t="shared" si="54"/>
        <v>0</v>
      </c>
      <c r="R147" s="119">
        <f t="shared" si="54"/>
        <v>0</v>
      </c>
      <c r="S147" s="119">
        <f t="shared" si="54"/>
        <v>0</v>
      </c>
      <c r="T147" s="119">
        <f t="shared" si="54"/>
        <v>0</v>
      </c>
      <c r="U147" s="119">
        <f t="shared" si="54"/>
        <v>0</v>
      </c>
      <c r="V147" s="119">
        <f t="shared" si="54"/>
        <v>0</v>
      </c>
      <c r="W147" s="119">
        <f t="shared" si="54"/>
        <v>0</v>
      </c>
      <c r="X147" s="119">
        <f t="shared" si="54"/>
        <v>0</v>
      </c>
      <c r="Y147" s="119">
        <f t="shared" si="54"/>
        <v>0</v>
      </c>
    </row>
    <row r="148" spans="2:25" x14ac:dyDescent="0.2">
      <c r="C148" s="1" t="s">
        <v>391</v>
      </c>
      <c r="D148" s="27"/>
      <c r="E148" s="80" t="s">
        <v>117</v>
      </c>
      <c r="F148" s="151">
        <f>F147*F58</f>
        <v>0</v>
      </c>
      <c r="G148" s="151">
        <f t="shared" ref="G148:Y148" si="55">G147*G58</f>
        <v>0</v>
      </c>
      <c r="H148" s="151">
        <f t="shared" si="55"/>
        <v>0</v>
      </c>
      <c r="I148" s="151">
        <f t="shared" si="55"/>
        <v>0</v>
      </c>
      <c r="J148" s="151">
        <f t="shared" si="55"/>
        <v>0</v>
      </c>
      <c r="K148" s="151">
        <f t="shared" si="55"/>
        <v>0</v>
      </c>
      <c r="L148" s="151">
        <f t="shared" si="55"/>
        <v>0</v>
      </c>
      <c r="M148" s="151">
        <f t="shared" si="55"/>
        <v>0</v>
      </c>
      <c r="N148" s="151">
        <f t="shared" si="55"/>
        <v>0</v>
      </c>
      <c r="O148" s="151">
        <f t="shared" si="55"/>
        <v>0</v>
      </c>
      <c r="P148" s="151">
        <f t="shared" si="55"/>
        <v>0</v>
      </c>
      <c r="Q148" s="151">
        <f t="shared" si="55"/>
        <v>0</v>
      </c>
      <c r="R148" s="151">
        <f t="shared" si="55"/>
        <v>0</v>
      </c>
      <c r="S148" s="151">
        <f t="shared" si="55"/>
        <v>0</v>
      </c>
      <c r="T148" s="151">
        <f t="shared" si="55"/>
        <v>0</v>
      </c>
      <c r="U148" s="151">
        <f t="shared" si="55"/>
        <v>0</v>
      </c>
      <c r="V148" s="151">
        <f t="shared" si="55"/>
        <v>0</v>
      </c>
      <c r="W148" s="151">
        <f t="shared" si="55"/>
        <v>0</v>
      </c>
      <c r="X148" s="151">
        <f t="shared" si="55"/>
        <v>0</v>
      </c>
      <c r="Y148" s="151">
        <f t="shared" si="55"/>
        <v>0</v>
      </c>
    </row>
    <row r="149" spans="2:25" x14ac:dyDescent="0.2">
      <c r="B149" s="36" t="s">
        <v>383</v>
      </c>
      <c r="C149" s="28"/>
      <c r="D149" s="27"/>
      <c r="E149" s="8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</row>
    <row r="150" spans="2:25" x14ac:dyDescent="0.2">
      <c r="C150" s="1" t="s">
        <v>300</v>
      </c>
      <c r="D150" s="27"/>
      <c r="E150" s="80" t="s">
        <v>123</v>
      </c>
      <c r="F150" s="118">
        <v>0</v>
      </c>
      <c r="G150" s="119">
        <f t="shared" ref="G150:Y150" si="56">F150</f>
        <v>0</v>
      </c>
      <c r="H150" s="119">
        <f t="shared" si="56"/>
        <v>0</v>
      </c>
      <c r="I150" s="119">
        <f t="shared" si="56"/>
        <v>0</v>
      </c>
      <c r="J150" s="119">
        <f t="shared" si="56"/>
        <v>0</v>
      </c>
      <c r="K150" s="119">
        <f t="shared" si="56"/>
        <v>0</v>
      </c>
      <c r="L150" s="119">
        <f t="shared" si="56"/>
        <v>0</v>
      </c>
      <c r="M150" s="119">
        <f t="shared" si="56"/>
        <v>0</v>
      </c>
      <c r="N150" s="119">
        <f t="shared" si="56"/>
        <v>0</v>
      </c>
      <c r="O150" s="119">
        <f t="shared" si="56"/>
        <v>0</v>
      </c>
      <c r="P150" s="119">
        <f t="shared" si="56"/>
        <v>0</v>
      </c>
      <c r="Q150" s="119">
        <f t="shared" si="56"/>
        <v>0</v>
      </c>
      <c r="R150" s="119">
        <f t="shared" si="56"/>
        <v>0</v>
      </c>
      <c r="S150" s="119">
        <f t="shared" si="56"/>
        <v>0</v>
      </c>
      <c r="T150" s="119">
        <f t="shared" si="56"/>
        <v>0</v>
      </c>
      <c r="U150" s="119">
        <f t="shared" si="56"/>
        <v>0</v>
      </c>
      <c r="V150" s="119">
        <f t="shared" si="56"/>
        <v>0</v>
      </c>
      <c r="W150" s="119">
        <f t="shared" si="56"/>
        <v>0</v>
      </c>
      <c r="X150" s="119">
        <f t="shared" si="56"/>
        <v>0</v>
      </c>
      <c r="Y150" s="119">
        <f t="shared" si="56"/>
        <v>0</v>
      </c>
    </row>
    <row r="151" spans="2:25" x14ac:dyDescent="0.2">
      <c r="C151" s="1" t="s">
        <v>392</v>
      </c>
      <c r="D151" s="27"/>
      <c r="E151" s="80" t="s">
        <v>117</v>
      </c>
      <c r="F151" s="151">
        <f>F150*F67</f>
        <v>0</v>
      </c>
      <c r="G151" s="151">
        <f t="shared" ref="G151:Y151" si="57">G150*G67</f>
        <v>0</v>
      </c>
      <c r="H151" s="151">
        <f t="shared" si="57"/>
        <v>0</v>
      </c>
      <c r="I151" s="151">
        <f t="shared" si="57"/>
        <v>0</v>
      </c>
      <c r="J151" s="151">
        <f t="shared" si="57"/>
        <v>0</v>
      </c>
      <c r="K151" s="151">
        <f t="shared" si="57"/>
        <v>0</v>
      </c>
      <c r="L151" s="151">
        <f t="shared" si="57"/>
        <v>0</v>
      </c>
      <c r="M151" s="151">
        <f t="shared" si="57"/>
        <v>0</v>
      </c>
      <c r="N151" s="151">
        <f t="shared" si="57"/>
        <v>0</v>
      </c>
      <c r="O151" s="151">
        <f t="shared" si="57"/>
        <v>0</v>
      </c>
      <c r="P151" s="151">
        <f t="shared" si="57"/>
        <v>0</v>
      </c>
      <c r="Q151" s="151">
        <f t="shared" si="57"/>
        <v>0</v>
      </c>
      <c r="R151" s="151">
        <f t="shared" si="57"/>
        <v>0</v>
      </c>
      <c r="S151" s="151">
        <f t="shared" si="57"/>
        <v>0</v>
      </c>
      <c r="T151" s="151">
        <f t="shared" si="57"/>
        <v>0</v>
      </c>
      <c r="U151" s="151">
        <f t="shared" si="57"/>
        <v>0</v>
      </c>
      <c r="V151" s="151">
        <f t="shared" si="57"/>
        <v>0</v>
      </c>
      <c r="W151" s="151">
        <f t="shared" si="57"/>
        <v>0</v>
      </c>
      <c r="X151" s="151">
        <f t="shared" si="57"/>
        <v>0</v>
      </c>
      <c r="Y151" s="151">
        <f t="shared" si="57"/>
        <v>0</v>
      </c>
    </row>
    <row r="152" spans="2:25" x14ac:dyDescent="0.2">
      <c r="B152" s="36" t="s">
        <v>145</v>
      </c>
      <c r="C152" s="28"/>
      <c r="D152" s="27"/>
      <c r="E152" s="8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</row>
    <row r="153" spans="2:25" x14ac:dyDescent="0.2">
      <c r="C153" s="1" t="s">
        <v>301</v>
      </c>
      <c r="D153" s="27"/>
      <c r="E153" s="80" t="s">
        <v>123</v>
      </c>
      <c r="F153" s="118">
        <v>0</v>
      </c>
      <c r="G153" s="119">
        <f t="shared" ref="G153:Y153" si="58">F153</f>
        <v>0</v>
      </c>
      <c r="H153" s="119">
        <f t="shared" si="58"/>
        <v>0</v>
      </c>
      <c r="I153" s="119">
        <f t="shared" si="58"/>
        <v>0</v>
      </c>
      <c r="J153" s="119">
        <f t="shared" si="58"/>
        <v>0</v>
      </c>
      <c r="K153" s="119">
        <f t="shared" si="58"/>
        <v>0</v>
      </c>
      <c r="L153" s="119">
        <f t="shared" si="58"/>
        <v>0</v>
      </c>
      <c r="M153" s="119">
        <f t="shared" si="58"/>
        <v>0</v>
      </c>
      <c r="N153" s="119">
        <f t="shared" si="58"/>
        <v>0</v>
      </c>
      <c r="O153" s="119">
        <f t="shared" si="58"/>
        <v>0</v>
      </c>
      <c r="P153" s="119">
        <f t="shared" si="58"/>
        <v>0</v>
      </c>
      <c r="Q153" s="119">
        <f t="shared" si="58"/>
        <v>0</v>
      </c>
      <c r="R153" s="119">
        <f t="shared" si="58"/>
        <v>0</v>
      </c>
      <c r="S153" s="119">
        <f t="shared" si="58"/>
        <v>0</v>
      </c>
      <c r="T153" s="119">
        <f t="shared" si="58"/>
        <v>0</v>
      </c>
      <c r="U153" s="119">
        <f t="shared" si="58"/>
        <v>0</v>
      </c>
      <c r="V153" s="119">
        <f t="shared" si="58"/>
        <v>0</v>
      </c>
      <c r="W153" s="119">
        <f t="shared" si="58"/>
        <v>0</v>
      </c>
      <c r="X153" s="119">
        <f t="shared" si="58"/>
        <v>0</v>
      </c>
      <c r="Y153" s="119">
        <f t="shared" si="58"/>
        <v>0</v>
      </c>
    </row>
    <row r="154" spans="2:25" x14ac:dyDescent="0.2">
      <c r="C154" s="1" t="s">
        <v>393</v>
      </c>
      <c r="D154" s="27"/>
      <c r="E154" s="80" t="s">
        <v>117</v>
      </c>
      <c r="F154" s="151">
        <f>F153*F78</f>
        <v>0</v>
      </c>
      <c r="G154" s="151">
        <f t="shared" ref="G154:X154" si="59">G153*G78</f>
        <v>0</v>
      </c>
      <c r="H154" s="151">
        <f t="shared" si="59"/>
        <v>0</v>
      </c>
      <c r="I154" s="151">
        <f t="shared" si="59"/>
        <v>0</v>
      </c>
      <c r="J154" s="151">
        <f t="shared" si="59"/>
        <v>0</v>
      </c>
      <c r="K154" s="151">
        <f t="shared" si="59"/>
        <v>0</v>
      </c>
      <c r="L154" s="151">
        <f t="shared" si="59"/>
        <v>0</v>
      </c>
      <c r="M154" s="151">
        <f t="shared" si="59"/>
        <v>0</v>
      </c>
      <c r="N154" s="151">
        <f t="shared" si="59"/>
        <v>0</v>
      </c>
      <c r="O154" s="151">
        <f t="shared" si="59"/>
        <v>0</v>
      </c>
      <c r="P154" s="151">
        <f t="shared" si="59"/>
        <v>0</v>
      </c>
      <c r="Q154" s="151">
        <f t="shared" si="59"/>
        <v>0</v>
      </c>
      <c r="R154" s="151">
        <f t="shared" si="59"/>
        <v>0</v>
      </c>
      <c r="S154" s="151">
        <f t="shared" si="59"/>
        <v>0</v>
      </c>
      <c r="T154" s="151">
        <f t="shared" si="59"/>
        <v>0</v>
      </c>
      <c r="U154" s="151">
        <f t="shared" si="59"/>
        <v>0</v>
      </c>
      <c r="V154" s="151">
        <f t="shared" si="59"/>
        <v>0</v>
      </c>
      <c r="W154" s="151">
        <f t="shared" si="59"/>
        <v>0</v>
      </c>
      <c r="X154" s="151">
        <f t="shared" si="59"/>
        <v>0</v>
      </c>
      <c r="Y154" s="151">
        <f>Y153*Y78</f>
        <v>0</v>
      </c>
    </row>
    <row r="155" spans="2:25" x14ac:dyDescent="0.2">
      <c r="B155" s="27" t="s">
        <v>242</v>
      </c>
      <c r="E155" s="80" t="s">
        <v>117</v>
      </c>
      <c r="F155" s="123">
        <f>F139+F145+F148+F151+F154</f>
        <v>0</v>
      </c>
      <c r="G155" s="123">
        <f t="shared" ref="G155:Y155" si="60">G139+G145+G148+G151+G154</f>
        <v>0</v>
      </c>
      <c r="H155" s="123">
        <f t="shared" si="60"/>
        <v>0</v>
      </c>
      <c r="I155" s="123">
        <f t="shared" si="60"/>
        <v>0</v>
      </c>
      <c r="J155" s="123">
        <f t="shared" si="60"/>
        <v>0</v>
      </c>
      <c r="K155" s="123">
        <f t="shared" si="60"/>
        <v>0</v>
      </c>
      <c r="L155" s="123">
        <f t="shared" si="60"/>
        <v>0</v>
      </c>
      <c r="M155" s="123">
        <f t="shared" si="60"/>
        <v>0</v>
      </c>
      <c r="N155" s="123">
        <f t="shared" si="60"/>
        <v>0</v>
      </c>
      <c r="O155" s="123">
        <f t="shared" si="60"/>
        <v>0</v>
      </c>
      <c r="P155" s="123">
        <f t="shared" si="60"/>
        <v>0</v>
      </c>
      <c r="Q155" s="123">
        <f t="shared" si="60"/>
        <v>0</v>
      </c>
      <c r="R155" s="123">
        <f t="shared" si="60"/>
        <v>0</v>
      </c>
      <c r="S155" s="123">
        <f t="shared" si="60"/>
        <v>0</v>
      </c>
      <c r="T155" s="123">
        <f t="shared" si="60"/>
        <v>0</v>
      </c>
      <c r="U155" s="123">
        <f t="shared" si="60"/>
        <v>0</v>
      </c>
      <c r="V155" s="123">
        <f t="shared" si="60"/>
        <v>0</v>
      </c>
      <c r="W155" s="123">
        <f t="shared" si="60"/>
        <v>0</v>
      </c>
      <c r="X155" s="123">
        <f t="shared" si="60"/>
        <v>0</v>
      </c>
      <c r="Y155" s="123">
        <f t="shared" si="60"/>
        <v>0</v>
      </c>
    </row>
  </sheetData>
  <phoneticPr fontId="0" type="noConversion"/>
  <hyperlinks>
    <hyperlink ref="D1" r:id="rId1"/>
  </hyperlinks>
  <pageMargins left="0.75" right="0.75" top="1" bottom="1" header="0.5" footer="0.5"/>
  <pageSetup paperSize="9" orientation="portrait" horizontalDpi="300" verticalDpi="300"/>
  <headerFooter alignWithMargins="0"/>
  <ignoredErrors>
    <ignoredError sqref="F46:G46 F41 F39 F37 G37:K37 H46:K46 L37:Y37 G52 H52:Y52 G54:Y54 G56:Y56 G65:Y65 G74:Y74 G76:Y76 G39:K39 L39:Y41 G41:K44 L43:Y44 L46:Y46 G51:Y51 G53:Y53 G55:Y55 G64:Y64 G73:Y73 G75:Y75" formula="1"/>
    <ignoredError sqref="G111:Q111 R111:Y11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zoomScale="85" zoomScaleNormal="85" workbookViewId="0">
      <selection activeCell="B1" sqref="B1"/>
    </sheetView>
  </sheetViews>
  <sheetFormatPr defaultRowHeight="12.75" x14ac:dyDescent="0.2"/>
  <cols>
    <col min="1" max="1" width="2.7109375" style="1" customWidth="1"/>
    <col min="2" max="2" width="48.7109375" style="1" customWidth="1"/>
    <col min="3" max="3" width="9.42578125" style="1" customWidth="1"/>
    <col min="4" max="19" width="9.42578125" style="1" bestFit="1" customWidth="1"/>
    <col min="20" max="23" width="10" style="1" bestFit="1" customWidth="1"/>
    <col min="24" max="16384" width="9.140625" style="1"/>
  </cols>
  <sheetData>
    <row r="1" spans="1:24" ht="18" x14ac:dyDescent="0.25">
      <c r="B1" s="319" t="s">
        <v>573</v>
      </c>
    </row>
    <row r="2" spans="1:24" s="2" customFormat="1" x14ac:dyDescent="0.2">
      <c r="A2" s="11" t="s">
        <v>196</v>
      </c>
      <c r="B2" s="11"/>
      <c r="C2" s="2" t="s">
        <v>108</v>
      </c>
      <c r="D2" s="3" t="s">
        <v>87</v>
      </c>
      <c r="E2" s="3" t="s">
        <v>88</v>
      </c>
      <c r="F2" s="3" t="s">
        <v>89</v>
      </c>
      <c r="G2" s="3" t="s">
        <v>90</v>
      </c>
      <c r="H2" s="4" t="s">
        <v>91</v>
      </c>
      <c r="I2" s="4" t="s">
        <v>92</v>
      </c>
      <c r="J2" s="4" t="s">
        <v>93</v>
      </c>
      <c r="K2" s="4" t="s">
        <v>94</v>
      </c>
      <c r="L2" s="5" t="s">
        <v>95</v>
      </c>
      <c r="M2" s="5" t="s">
        <v>96</v>
      </c>
      <c r="N2" s="5" t="s">
        <v>97</v>
      </c>
      <c r="O2" s="5" t="s">
        <v>98</v>
      </c>
      <c r="P2" s="6" t="s">
        <v>99</v>
      </c>
      <c r="Q2" s="6" t="s">
        <v>100</v>
      </c>
      <c r="R2" s="6" t="s">
        <v>101</v>
      </c>
      <c r="S2" s="6" t="s">
        <v>102</v>
      </c>
      <c r="T2" s="7" t="s">
        <v>103</v>
      </c>
      <c r="U2" s="7" t="s">
        <v>104</v>
      </c>
      <c r="V2" s="7" t="s">
        <v>105</v>
      </c>
      <c r="W2" s="7" t="s">
        <v>106</v>
      </c>
      <c r="X2" s="8"/>
    </row>
    <row r="3" spans="1:24" s="35" customFormat="1" x14ac:dyDescent="0.2"/>
    <row r="4" spans="1:24" s="35" customFormat="1" x14ac:dyDescent="0.2">
      <c r="B4" s="35" t="s">
        <v>303</v>
      </c>
      <c r="C4" s="80" t="s">
        <v>117</v>
      </c>
      <c r="D4" s="15">
        <f>D13</f>
        <v>6572.2795779313037</v>
      </c>
      <c r="E4" s="15">
        <f t="shared" ref="E4:W4" si="0">E13</f>
        <v>9240.7394913528697</v>
      </c>
      <c r="F4" s="15">
        <f t="shared" si="0"/>
        <v>12405.61680373297</v>
      </c>
      <c r="G4" s="15">
        <f t="shared" si="0"/>
        <v>14850.634596348813</v>
      </c>
      <c r="H4" s="15">
        <f t="shared" si="0"/>
        <v>33495.888295495562</v>
      </c>
      <c r="I4" s="15">
        <f t="shared" si="0"/>
        <v>42444.039048117309</v>
      </c>
      <c r="J4" s="15">
        <f t="shared" si="0"/>
        <v>63883.417717510201</v>
      </c>
      <c r="K4" s="15">
        <f t="shared" si="0"/>
        <v>78620.538269518263</v>
      </c>
      <c r="L4" s="15">
        <f t="shared" si="0"/>
        <v>117671.19677465924</v>
      </c>
      <c r="M4" s="15">
        <f t="shared" si="0"/>
        <v>138486.86247066854</v>
      </c>
      <c r="N4" s="15">
        <f t="shared" si="0"/>
        <v>154196.27727226942</v>
      </c>
      <c r="O4" s="15">
        <f t="shared" si="0"/>
        <v>171988.22080488977</v>
      </c>
      <c r="P4" s="15">
        <f t="shared" si="0"/>
        <v>211357.49763557274</v>
      </c>
      <c r="Q4" s="15">
        <f t="shared" si="0"/>
        <v>231675.96819774786</v>
      </c>
      <c r="R4" s="15">
        <f t="shared" si="0"/>
        <v>259322.91478844514</v>
      </c>
      <c r="S4" s="15">
        <f t="shared" si="0"/>
        <v>283654.87529334147</v>
      </c>
      <c r="T4" s="15">
        <f t="shared" si="0"/>
        <v>256254.32689162379</v>
      </c>
      <c r="U4" s="15">
        <f t="shared" si="0"/>
        <v>281477.18285335612</v>
      </c>
      <c r="V4" s="15">
        <f t="shared" si="0"/>
        <v>314493.96748536354</v>
      </c>
      <c r="W4" s="15">
        <f t="shared" si="0"/>
        <v>338776.38515376055</v>
      </c>
    </row>
    <row r="5" spans="1:24" x14ac:dyDescent="0.2">
      <c r="B5" s="1" t="s">
        <v>256</v>
      </c>
      <c r="C5" s="80" t="s">
        <v>117</v>
      </c>
      <c r="D5" s="15">
        <f>D20</f>
        <v>1003.9971102098716</v>
      </c>
      <c r="E5" s="15">
        <f t="shared" ref="E5:W5" si="1">E20</f>
        <v>2065.5948031231587</v>
      </c>
      <c r="F5" s="15">
        <f t="shared" si="1"/>
        <v>3188.0976969444691</v>
      </c>
      <c r="G5" s="15">
        <f t="shared" si="1"/>
        <v>4374.9999999999973</v>
      </c>
      <c r="H5" s="15">
        <f t="shared" si="1"/>
        <v>5629.9963877623368</v>
      </c>
      <c r="I5" s="15">
        <f t="shared" si="1"/>
        <v>6956.9935039039456</v>
      </c>
      <c r="J5" s="15">
        <f t="shared" si="1"/>
        <v>7356.1250109707116</v>
      </c>
      <c r="K5" s="15">
        <f t="shared" si="1"/>
        <v>-4.4803123165365832E-2</v>
      </c>
      <c r="L5" s="15">
        <f t="shared" si="1"/>
        <v>-4.7373534947446075E-2</v>
      </c>
      <c r="M5" s="15">
        <f t="shared" si="1"/>
        <v>-5.0091414501026776E-2</v>
      </c>
      <c r="N5" s="15">
        <f t="shared" si="1"/>
        <v>-5.2965222238475676E-2</v>
      </c>
      <c r="O5" s="15">
        <f t="shared" si="1"/>
        <v>-5.600390395670729E-2</v>
      </c>
      <c r="P5" s="15">
        <f t="shared" si="1"/>
        <v>-26401.159216918681</v>
      </c>
      <c r="Q5" s="15">
        <f t="shared" si="1"/>
        <v>-27915.827077488801</v>
      </c>
      <c r="R5" s="15">
        <f t="shared" si="1"/>
        <v>-29517.393346912642</v>
      </c>
      <c r="S5" s="15">
        <f t="shared" si="1"/>
        <v>-31210.843496697122</v>
      </c>
      <c r="T5" s="15">
        <f t="shared" si="1"/>
        <v>-33001.44902114835</v>
      </c>
      <c r="U5" s="15">
        <f t="shared" si="1"/>
        <v>-34894.783846860999</v>
      </c>
      <c r="V5" s="15">
        <f t="shared" si="1"/>
        <v>-36896.741683640801</v>
      </c>
      <c r="W5" s="15">
        <f t="shared" si="1"/>
        <v>-39013.554370871403</v>
      </c>
    </row>
    <row r="6" spans="1:24" x14ac:dyDescent="0.2">
      <c r="B6" s="1" t="s">
        <v>336</v>
      </c>
      <c r="C6" s="80" t="s">
        <v>117</v>
      </c>
      <c r="D6" s="15">
        <f>D4-D5</f>
        <v>5568.2824677214321</v>
      </c>
      <c r="E6" s="15">
        <f t="shared" ref="E6:W6" si="2">E4-E5</f>
        <v>7175.1446882297114</v>
      </c>
      <c r="F6" s="15">
        <f t="shared" si="2"/>
        <v>9217.5191067885007</v>
      </c>
      <c r="G6" s="15">
        <f t="shared" si="2"/>
        <v>10475.634596348817</v>
      </c>
      <c r="H6" s="15">
        <f t="shared" si="2"/>
        <v>27865.891907733225</v>
      </c>
      <c r="I6" s="15">
        <f t="shared" si="2"/>
        <v>35487.045544213361</v>
      </c>
      <c r="J6" s="15">
        <f t="shared" si="2"/>
        <v>56527.292706539491</v>
      </c>
      <c r="K6" s="15">
        <f t="shared" si="2"/>
        <v>78620.583072641428</v>
      </c>
      <c r="L6" s="15">
        <f t="shared" si="2"/>
        <v>117671.24414819419</v>
      </c>
      <c r="M6" s="15">
        <f t="shared" si="2"/>
        <v>138486.91256208305</v>
      </c>
      <c r="N6" s="15">
        <f t="shared" si="2"/>
        <v>154196.33023749167</v>
      </c>
      <c r="O6" s="15">
        <f t="shared" si="2"/>
        <v>171988.27680879374</v>
      </c>
      <c r="P6" s="15">
        <f t="shared" si="2"/>
        <v>237758.65685249143</v>
      </c>
      <c r="Q6" s="15">
        <f t="shared" si="2"/>
        <v>259591.79527523665</v>
      </c>
      <c r="R6" s="15">
        <f t="shared" si="2"/>
        <v>288840.3081353578</v>
      </c>
      <c r="S6" s="15">
        <f t="shared" si="2"/>
        <v>314865.71879003861</v>
      </c>
      <c r="T6" s="15">
        <f t="shared" si="2"/>
        <v>289255.77591277217</v>
      </c>
      <c r="U6" s="15">
        <f t="shared" si="2"/>
        <v>316371.9667002171</v>
      </c>
      <c r="V6" s="15">
        <f t="shared" si="2"/>
        <v>351390.70916900435</v>
      </c>
      <c r="W6" s="15">
        <f t="shared" si="2"/>
        <v>377789.93952463195</v>
      </c>
    </row>
    <row r="7" spans="1:24" x14ac:dyDescent="0.2">
      <c r="B7" s="1" t="s">
        <v>337</v>
      </c>
      <c r="C7" s="80" t="s">
        <v>117</v>
      </c>
      <c r="D7" s="15">
        <f>D6</f>
        <v>5568.2824677214321</v>
      </c>
      <c r="E7" s="15">
        <f>E6-D6</f>
        <v>1606.8622205082793</v>
      </c>
      <c r="F7" s="15">
        <f>F6-E6</f>
        <v>2042.3744185587893</v>
      </c>
      <c r="G7" s="15">
        <f t="shared" ref="G7:V7" si="3">G6-F6</f>
        <v>1258.1154895603158</v>
      </c>
      <c r="H7" s="15">
        <f t="shared" si="3"/>
        <v>17390.257311384408</v>
      </c>
      <c r="I7" s="15">
        <f t="shared" si="3"/>
        <v>7621.1536364801359</v>
      </c>
      <c r="J7" s="15">
        <f t="shared" si="3"/>
        <v>21040.24716232613</v>
      </c>
      <c r="K7" s="15">
        <f t="shared" si="3"/>
        <v>22093.290366101937</v>
      </c>
      <c r="L7" s="15">
        <f t="shared" si="3"/>
        <v>39050.661075552765</v>
      </c>
      <c r="M7" s="15">
        <f t="shared" si="3"/>
        <v>20815.668413888852</v>
      </c>
      <c r="N7" s="15">
        <f t="shared" si="3"/>
        <v>15709.417675408622</v>
      </c>
      <c r="O7" s="15">
        <f t="shared" si="3"/>
        <v>17791.946571302076</v>
      </c>
      <c r="P7" s="15">
        <f t="shared" si="3"/>
        <v>65770.380043697689</v>
      </c>
      <c r="Q7" s="15">
        <f t="shared" si="3"/>
        <v>21833.138422745222</v>
      </c>
      <c r="R7" s="15">
        <f t="shared" si="3"/>
        <v>29248.512860121147</v>
      </c>
      <c r="S7" s="15">
        <f t="shared" si="3"/>
        <v>26025.410654680803</v>
      </c>
      <c r="T7" s="15">
        <f t="shared" si="3"/>
        <v>-25609.94287726644</v>
      </c>
      <c r="U7" s="15">
        <f t="shared" si="3"/>
        <v>27116.190787444939</v>
      </c>
      <c r="V7" s="15">
        <f t="shared" si="3"/>
        <v>35018.742468787241</v>
      </c>
      <c r="W7" s="15">
        <f>W6-V6</f>
        <v>26399.230355627602</v>
      </c>
    </row>
    <row r="8" spans="1:24" x14ac:dyDescent="0.2">
      <c r="C8" s="80"/>
    </row>
    <row r="9" spans="1:24" x14ac:dyDescent="0.2">
      <c r="A9" s="25" t="s">
        <v>252</v>
      </c>
      <c r="C9" s="80"/>
    </row>
    <row r="10" spans="1:24" x14ac:dyDescent="0.2">
      <c r="B10" s="1" t="s">
        <v>253</v>
      </c>
      <c r="C10" s="80" t="s">
        <v>117</v>
      </c>
      <c r="D10" s="82">
        <f>'Пр-во и Продажи'!E69</f>
        <v>2449.6821753339009</v>
      </c>
      <c r="E10" s="82">
        <f>'Пр-во и Продажи'!F69</f>
        <v>3320.3744535368987</v>
      </c>
      <c r="F10" s="82">
        <f>'Пр-во и Продажи'!G69</f>
        <v>4353.4142522459733</v>
      </c>
      <c r="G10" s="82">
        <f>'Пр-во и Продажи'!H69</f>
        <v>5277.6917179079646</v>
      </c>
      <c r="H10" s="82">
        <f>'Пр-во и Продажи'!I69</f>
        <v>13105.317143240372</v>
      </c>
      <c r="I10" s="82">
        <f>'Пр-во и Продажи'!J69</f>
        <v>16128.824580652959</v>
      </c>
      <c r="J10" s="82">
        <f>'Пр-во и Продажи'!K69</f>
        <v>23169.35172572692</v>
      </c>
      <c r="K10" s="82">
        <f>'Пр-во и Продажи'!L69</f>
        <v>28022.057487283168</v>
      </c>
      <c r="L10" s="82">
        <f>'Пр-во и Продажи'!M69</f>
        <v>32634.067898101734</v>
      </c>
      <c r="M10" s="82">
        <f>'Пр-во и Продажи'!N69</f>
        <v>37880.937997662426</v>
      </c>
      <c r="N10" s="82">
        <f>'Пр-во и Продажи'!O69</f>
        <v>41734.350110235609</v>
      </c>
      <c r="O10" s="82">
        <f>'Пр-во и Продажи'!P69</f>
        <v>46090.441101323675</v>
      </c>
      <c r="P10" s="82">
        <f>'Пр-во и Продажи'!Q69</f>
        <v>50002.253044056502</v>
      </c>
      <c r="Q10" s="82">
        <f>'Пр-во и Продажи'!R69</f>
        <v>53497.747199078854</v>
      </c>
      <c r="R10" s="82">
        <f>'Пр-во и Продажи'!S69</f>
        <v>57448.378031051201</v>
      </c>
      <c r="S10" s="82">
        <f>'Пр-во и Продажи'!T69</f>
        <v>63206.360173898531</v>
      </c>
      <c r="T10" s="82">
        <f>'Пр-во и Продажи'!U69</f>
        <v>64218.526689707171</v>
      </c>
      <c r="U10" s="82">
        <f>'Пр-во и Продажи'!V69</f>
        <v>69210.717634235218</v>
      </c>
      <c r="V10" s="82">
        <f>'Пр-во и Продажи'!W69</f>
        <v>74720.242235604775</v>
      </c>
      <c r="W10" s="82">
        <f>'Пр-во и Продажи'!X69</f>
        <v>80331.526513282297</v>
      </c>
    </row>
    <row r="11" spans="1:24" x14ac:dyDescent="0.2">
      <c r="B11" s="1" t="s">
        <v>330</v>
      </c>
      <c r="C11" s="80" t="s">
        <v>117</v>
      </c>
      <c r="D11" s="15">
        <f>'Пр-во и Продажи'!E77/(1+Окружение!D13)</f>
        <v>0</v>
      </c>
      <c r="E11" s="15">
        <f>'Пр-во и Продажи'!F77/(1+Окружение!E13)</f>
        <v>0</v>
      </c>
      <c r="F11" s="15">
        <f>'Пр-во и Продажи'!G77/(1+Окружение!F13)</f>
        <v>0</v>
      </c>
      <c r="G11" s="15">
        <f>'Пр-во и Продажи'!H77/(1+Окружение!G13)</f>
        <v>0</v>
      </c>
      <c r="H11" s="15">
        <f>'Пр-во и Продажи'!I77/(1+Окружение!H13)</f>
        <v>9142.8078732808499</v>
      </c>
      <c r="I11" s="15">
        <f>'Пр-во и Продажи'!J77/(1+Окружение!I13)</f>
        <v>12054.735140670335</v>
      </c>
      <c r="J11" s="15">
        <f>'Пр-во и Продажи'!K77/(1+Окружение!J13)</f>
        <v>18980.962392125966</v>
      </c>
      <c r="K11" s="15">
        <f>'Пр-во и Продажи'!L77/(1+Окружение!K13)</f>
        <v>23888.722291045353</v>
      </c>
      <c r="L11" s="15">
        <f>'Пр-во и Продажи'!M77/(1+Окружение!L13)</f>
        <v>71476.965831013586</v>
      </c>
      <c r="M11" s="15">
        <f>'Пр-во и Продажи'!N77/(1+Окружение!M13)</f>
        <v>84794.000598348925</v>
      </c>
      <c r="N11" s="15">
        <f>'Пр-во и Продажи'!O77/(1+Окружение!N13)</f>
        <v>94832.21998050432</v>
      </c>
      <c r="O11" s="15">
        <f>'Пр-во и Продажи'!P77/(1+Окружение!O13)</f>
        <v>106382.73693214882</v>
      </c>
      <c r="P11" s="15">
        <f>'Пр-во и Продажи'!Q77/(1+Окружение!P13)</f>
        <v>140681.37102116048</v>
      </c>
      <c r="Q11" s="15">
        <f>'Пр-во и Продажи'!R77/(1+Окружение!Q13)</f>
        <v>155986.97228987969</v>
      </c>
      <c r="R11" s="15">
        <f>'Пр-во и Продажи'!S77/(1+Окружение!R13)</f>
        <v>177907.07122528896</v>
      </c>
      <c r="S11" s="15">
        <f>'Пр-во и Продажи'!T77/(1+Окружение!S13)</f>
        <v>194093.47974251452</v>
      </c>
      <c r="T11" s="15">
        <f>'Пр-во и Продажи'!U77/(1+Окружение!T13)</f>
        <v>165658.40216829733</v>
      </c>
      <c r="U11" s="15">
        <f>'Пр-во и Продажи'!V77/(1+Окружение!U13)</f>
        <v>183765.80002772404</v>
      </c>
      <c r="V11" s="15">
        <f>'Пр-во и Продажи'!W77/(1+Окружение!V13)</f>
        <v>208865.70330465035</v>
      </c>
      <c r="W11" s="15">
        <f>'Пр-во и Продажи'!X77/(1+Окружение!W13)</f>
        <v>225201.6127971368</v>
      </c>
    </row>
    <row r="12" spans="1:24" x14ac:dyDescent="0.2">
      <c r="B12" s="1" t="s">
        <v>329</v>
      </c>
      <c r="C12" s="80" t="s">
        <v>117</v>
      </c>
      <c r="D12" s="82">
        <f>Затраты!F127/(1+Окружение!D13)</f>
        <v>4122.5974025974028</v>
      </c>
      <c r="E12" s="82">
        <f>Затраты!G127/(1+Окружение!E13)</f>
        <v>5920.3650378159709</v>
      </c>
      <c r="F12" s="82">
        <f>Затраты!H127/(1+Окружение!F13)</f>
        <v>8052.2025514869956</v>
      </c>
      <c r="G12" s="82">
        <f>Затраты!I127/(1+Окружение!G13)</f>
        <v>9572.9428784408483</v>
      </c>
      <c r="H12" s="82">
        <f>Затраты!J127/(1+Окружение!H13)</f>
        <v>11247.76327897434</v>
      </c>
      <c r="I12" s="82">
        <f>Затраты!K127/(1+Окружение!I13)</f>
        <v>14260.479326794013</v>
      </c>
      <c r="J12" s="82">
        <f>Затраты!L127/(1+Окружение!J13)</f>
        <v>21733.103599657312</v>
      </c>
      <c r="K12" s="82">
        <f>Затраты!M127/(1+Окружение!K13)</f>
        <v>26709.758491189743</v>
      </c>
      <c r="L12" s="82">
        <f>Затраты!N127/(1+Окружение!L13)</f>
        <v>13560.163045543917</v>
      </c>
      <c r="M12" s="82">
        <f>Затраты!O127/(1+Окружение!M13)</f>
        <v>15811.923874657192</v>
      </c>
      <c r="N12" s="82">
        <f>Затраты!P127/(1+Окружение!N13)</f>
        <v>17629.707181529495</v>
      </c>
      <c r="O12" s="82">
        <f>Затраты!Q127/(1+Окружение!O13)</f>
        <v>19515.042771417266</v>
      </c>
      <c r="P12" s="82">
        <f>Затраты!R127/(1+Окружение!P13)</f>
        <v>20673.873570355776</v>
      </c>
      <c r="Q12" s="82">
        <f>Затраты!S127/(1+Окружение!Q13)</f>
        <v>22191.248708789328</v>
      </c>
      <c r="R12" s="82">
        <f>Затраты!T127/(1+Окружение!R13)</f>
        <v>23967.465532104969</v>
      </c>
      <c r="S12" s="82">
        <f>Затраты!U127/(1+Окружение!S13)</f>
        <v>26355.035376928401</v>
      </c>
      <c r="T12" s="82">
        <f>Затраты!V127/(1+Окружение!T13)</f>
        <v>26377.398033619269</v>
      </c>
      <c r="U12" s="82">
        <f>Затраты!W127/(1+Окружение!U13)</f>
        <v>28500.665191396845</v>
      </c>
      <c r="V12" s="82">
        <f>Затраты!X127/(1+Окружение!V13)</f>
        <v>30908.021945108423</v>
      </c>
      <c r="W12" s="82">
        <f>Затраты!Y127/(1+Окружение!W13)</f>
        <v>33243.245843341443</v>
      </c>
    </row>
    <row r="13" spans="1:24" s="27" customFormat="1" x14ac:dyDescent="0.2">
      <c r="B13" s="28" t="s">
        <v>302</v>
      </c>
      <c r="C13" s="80" t="s">
        <v>117</v>
      </c>
      <c r="D13" s="123">
        <f t="shared" ref="D13:W13" si="4">SUM(D10:D12)</f>
        <v>6572.2795779313037</v>
      </c>
      <c r="E13" s="123">
        <f t="shared" si="4"/>
        <v>9240.7394913528697</v>
      </c>
      <c r="F13" s="123">
        <f t="shared" si="4"/>
        <v>12405.61680373297</v>
      </c>
      <c r="G13" s="123">
        <f t="shared" si="4"/>
        <v>14850.634596348813</v>
      </c>
      <c r="H13" s="123">
        <f t="shared" si="4"/>
        <v>33495.888295495562</v>
      </c>
      <c r="I13" s="123">
        <f t="shared" si="4"/>
        <v>42444.039048117309</v>
      </c>
      <c r="J13" s="123">
        <f t="shared" si="4"/>
        <v>63883.417717510201</v>
      </c>
      <c r="K13" s="123">
        <f t="shared" si="4"/>
        <v>78620.538269518263</v>
      </c>
      <c r="L13" s="123">
        <f t="shared" si="4"/>
        <v>117671.19677465924</v>
      </c>
      <c r="M13" s="123">
        <f t="shared" si="4"/>
        <v>138486.86247066854</v>
      </c>
      <c r="N13" s="123">
        <f t="shared" si="4"/>
        <v>154196.27727226942</v>
      </c>
      <c r="O13" s="123">
        <f t="shared" si="4"/>
        <v>171988.22080488977</v>
      </c>
      <c r="P13" s="123">
        <f t="shared" si="4"/>
        <v>211357.49763557274</v>
      </c>
      <c r="Q13" s="123">
        <f t="shared" si="4"/>
        <v>231675.96819774786</v>
      </c>
      <c r="R13" s="123">
        <f t="shared" si="4"/>
        <v>259322.91478844514</v>
      </c>
      <c r="S13" s="123">
        <f t="shared" si="4"/>
        <v>283654.87529334147</v>
      </c>
      <c r="T13" s="123">
        <f t="shared" si="4"/>
        <v>256254.32689162379</v>
      </c>
      <c r="U13" s="123">
        <f t="shared" si="4"/>
        <v>281477.18285335612</v>
      </c>
      <c r="V13" s="123">
        <f t="shared" si="4"/>
        <v>314493.96748536354</v>
      </c>
      <c r="W13" s="123">
        <f t="shared" si="4"/>
        <v>338776.38515376055</v>
      </c>
    </row>
    <row r="14" spans="1:24" x14ac:dyDescent="0.2">
      <c r="C14" s="80"/>
    </row>
    <row r="15" spans="1:24" x14ac:dyDescent="0.2">
      <c r="A15" s="25" t="s">
        <v>254</v>
      </c>
      <c r="C15" s="80"/>
    </row>
    <row r="16" spans="1:24" x14ac:dyDescent="0.2">
      <c r="B16" s="1" t="s">
        <v>335</v>
      </c>
      <c r="C16" s="80" t="s">
        <v>117</v>
      </c>
      <c r="D16" s="15">
        <f>Затраты!F155/(1+Окружение!D13)</f>
        <v>0</v>
      </c>
      <c r="E16" s="15">
        <f>Затраты!G155</f>
        <v>0</v>
      </c>
      <c r="F16" s="15">
        <f>Затраты!H155</f>
        <v>0</v>
      </c>
      <c r="G16" s="15">
        <f>Затраты!I155</f>
        <v>0</v>
      </c>
      <c r="H16" s="15">
        <f>Затраты!J155</f>
        <v>0</v>
      </c>
      <c r="I16" s="15">
        <f>Затраты!K155</f>
        <v>0</v>
      </c>
      <c r="J16" s="15">
        <f>Затраты!L155</f>
        <v>0</v>
      </c>
      <c r="K16" s="15">
        <f>Затраты!M155</f>
        <v>0</v>
      </c>
      <c r="L16" s="15">
        <f>Затраты!N155</f>
        <v>0</v>
      </c>
      <c r="M16" s="15">
        <f>Затраты!O155</f>
        <v>0</v>
      </c>
      <c r="N16" s="15">
        <f>Затраты!P155</f>
        <v>0</v>
      </c>
      <c r="O16" s="15">
        <f>Затраты!Q155</f>
        <v>0</v>
      </c>
      <c r="P16" s="15">
        <f>Затраты!R155</f>
        <v>0</v>
      </c>
      <c r="Q16" s="15">
        <f>Затраты!S155</f>
        <v>0</v>
      </c>
      <c r="R16" s="15">
        <f>Затраты!T155</f>
        <v>0</v>
      </c>
      <c r="S16" s="15">
        <f>Затраты!U155</f>
        <v>0</v>
      </c>
      <c r="T16" s="15">
        <f>Затраты!V155</f>
        <v>0</v>
      </c>
      <c r="U16" s="15">
        <f>Затраты!W155</f>
        <v>0</v>
      </c>
      <c r="V16" s="15">
        <f>Затраты!X155</f>
        <v>0</v>
      </c>
      <c r="W16" s="15">
        <f>Затраты!Y155</f>
        <v>0</v>
      </c>
    </row>
    <row r="17" spans="2:24" x14ac:dyDescent="0.2">
      <c r="B17" s="1" t="s">
        <v>332</v>
      </c>
      <c r="C17" s="80" t="s">
        <v>117</v>
      </c>
      <c r="D17" s="82">
        <f>'Пр-во и Продажи'!E85/(1+Окружение!D13)</f>
        <v>0</v>
      </c>
      <c r="E17" s="82">
        <f>'Пр-во и Продажи'!F85</f>
        <v>0</v>
      </c>
      <c r="F17" s="82">
        <f>'Пр-во и Продажи'!G85</f>
        <v>0</v>
      </c>
      <c r="G17" s="82">
        <f>'Пр-во и Продажи'!H85</f>
        <v>0</v>
      </c>
      <c r="H17" s="82">
        <f>'Пр-во и Продажи'!I85</f>
        <v>0</v>
      </c>
      <c r="I17" s="82">
        <f>'Пр-во и Продажи'!J85</f>
        <v>0</v>
      </c>
      <c r="J17" s="82">
        <f>'Пр-во и Продажи'!K85</f>
        <v>0</v>
      </c>
      <c r="K17" s="82">
        <f>'Пр-во и Продажи'!L85</f>
        <v>0</v>
      </c>
      <c r="L17" s="82">
        <f>'Пр-во и Продажи'!M85</f>
        <v>0</v>
      </c>
      <c r="M17" s="82">
        <f>'Пр-во и Продажи'!N85</f>
        <v>0</v>
      </c>
      <c r="N17" s="82">
        <f>'Пр-во и Продажи'!O85</f>
        <v>0</v>
      </c>
      <c r="O17" s="82">
        <f>'Пр-во и Продажи'!P85</f>
        <v>0</v>
      </c>
      <c r="P17" s="82">
        <f>'Пр-во и Продажи'!Q85</f>
        <v>0</v>
      </c>
      <c r="Q17" s="82">
        <f>'Пр-во и Продажи'!R85</f>
        <v>0</v>
      </c>
      <c r="R17" s="82">
        <f>'Пр-во и Продажи'!S85</f>
        <v>0</v>
      </c>
      <c r="S17" s="82">
        <f>'Пр-во и Продажи'!T85</f>
        <v>0</v>
      </c>
      <c r="T17" s="82">
        <f>'Пр-во и Продажи'!U85</f>
        <v>0</v>
      </c>
      <c r="U17" s="82">
        <f>'Пр-во и Продажи'!V85</f>
        <v>0</v>
      </c>
      <c r="V17" s="82">
        <f>'Пр-во и Продажи'!W85</f>
        <v>0</v>
      </c>
      <c r="W17" s="153">
        <f>'Пр-во и Продажи'!X85</f>
        <v>0</v>
      </c>
      <c r="X17" s="124"/>
    </row>
    <row r="18" spans="2:24" x14ac:dyDescent="0.2">
      <c r="B18" s="1" t="s">
        <v>334</v>
      </c>
      <c r="C18" s="80" t="s">
        <v>117</v>
      </c>
      <c r="D18" s="82">
        <f>Персонал!E85</f>
        <v>0</v>
      </c>
      <c r="E18" s="82">
        <f>Персонал!F85</f>
        <v>0</v>
      </c>
      <c r="F18" s="82">
        <f>Персонал!G85</f>
        <v>0</v>
      </c>
      <c r="G18" s="82">
        <f>Персонал!H85</f>
        <v>0</v>
      </c>
      <c r="H18" s="82">
        <f>Персонал!I85</f>
        <v>0</v>
      </c>
      <c r="I18" s="82">
        <f>Персонал!J85</f>
        <v>0</v>
      </c>
      <c r="J18" s="82">
        <f>Персонал!K85</f>
        <v>0</v>
      </c>
      <c r="K18" s="82">
        <f>Персонал!L85</f>
        <v>0</v>
      </c>
      <c r="L18" s="82">
        <f>Персонал!M85</f>
        <v>0</v>
      </c>
      <c r="M18" s="82">
        <f>Персонал!N85</f>
        <v>0</v>
      </c>
      <c r="N18" s="82">
        <f>Персонал!O85</f>
        <v>0</v>
      </c>
      <c r="O18" s="82">
        <f>Персонал!P85</f>
        <v>0</v>
      </c>
      <c r="P18" s="82">
        <f>Персонал!Q85</f>
        <v>0</v>
      </c>
      <c r="Q18" s="82">
        <f>Персонал!R85</f>
        <v>0</v>
      </c>
      <c r="R18" s="82">
        <f>Персонал!S85</f>
        <v>0</v>
      </c>
      <c r="S18" s="82">
        <f>Персонал!T85</f>
        <v>0</v>
      </c>
      <c r="T18" s="82">
        <f>Персонал!U85</f>
        <v>0</v>
      </c>
      <c r="U18" s="82">
        <f>Персонал!V85</f>
        <v>0</v>
      </c>
      <c r="V18" s="82">
        <f>Персонал!W85</f>
        <v>0</v>
      </c>
      <c r="W18" s="153">
        <f>Персонал!X85</f>
        <v>0</v>
      </c>
      <c r="X18" s="124"/>
    </row>
    <row r="19" spans="2:24" x14ac:dyDescent="0.2">
      <c r="B19" s="1" t="s">
        <v>424</v>
      </c>
      <c r="C19" s="80" t="s">
        <v>117</v>
      </c>
      <c r="D19" s="82">
        <f>'Финан-е'!E23+'Финан-е'!E35+'Финан-е'!E50+'Финан-е'!E62</f>
        <v>1003.9971102098716</v>
      </c>
      <c r="E19" s="82">
        <f>'Финан-е'!F23+'Финан-е'!F35+'Финан-е'!F50+'Финан-е'!F62</f>
        <v>2065.5948031231587</v>
      </c>
      <c r="F19" s="82">
        <f>'Финан-е'!G23+'Финан-е'!G35+'Финан-е'!G50+'Финан-е'!G62</f>
        <v>3188.0976969444691</v>
      </c>
      <c r="G19" s="82">
        <f>'Финан-е'!H23+'Финан-е'!H35+'Финан-е'!H50+'Финан-е'!H62</f>
        <v>4374.9999999999973</v>
      </c>
      <c r="H19" s="82">
        <f>'Финан-е'!I23+'Финан-е'!I35+'Финан-е'!I50+'Финан-е'!I62</f>
        <v>5629.9963877623368</v>
      </c>
      <c r="I19" s="82">
        <f>'Финан-е'!J23+'Финан-е'!J35+'Финан-е'!J50+'Финан-е'!J62</f>
        <v>6956.9935039039456</v>
      </c>
      <c r="J19" s="82">
        <f>'Финан-е'!K23+'Финан-е'!K35+'Финан-е'!K50+'Финан-е'!K62</f>
        <v>7356.1250109707116</v>
      </c>
      <c r="K19" s="82">
        <f>'Финан-е'!L23+'Финан-е'!L35+'Финан-е'!L50+'Финан-е'!L62</f>
        <v>-4.4803123165365832E-2</v>
      </c>
      <c r="L19" s="82">
        <f>'Финан-е'!M23+'Финан-е'!M35+'Финан-е'!M50+'Финан-е'!M62</f>
        <v>-4.7373534947446075E-2</v>
      </c>
      <c r="M19" s="82">
        <f>'Финан-е'!N23+'Финан-е'!N35+'Финан-е'!N50+'Финан-е'!N62</f>
        <v>-5.0091414501026776E-2</v>
      </c>
      <c r="N19" s="82">
        <f>'Финан-е'!O23+'Финан-е'!O35+'Финан-е'!O50+'Финан-е'!O62</f>
        <v>-5.2965222238475676E-2</v>
      </c>
      <c r="O19" s="82">
        <f>'Финан-е'!P23+'Финан-е'!P35+'Финан-е'!P50+'Финан-е'!P62</f>
        <v>-5.600390395670729E-2</v>
      </c>
      <c r="P19" s="82">
        <f>'Финан-е'!Q23+'Финан-е'!Q35+'Финан-е'!Q50+'Финан-е'!Q62</f>
        <v>-26401.159216918681</v>
      </c>
      <c r="Q19" s="82">
        <f>'Финан-е'!R23+'Финан-е'!R35+'Финан-е'!R50+'Финан-е'!R62</f>
        <v>-27915.827077488801</v>
      </c>
      <c r="R19" s="82">
        <f>'Финан-е'!S23+'Финан-е'!S35+'Финан-е'!S50+'Финан-е'!S62</f>
        <v>-29517.393346912642</v>
      </c>
      <c r="S19" s="82">
        <f>'Финан-е'!T23+'Финан-е'!T35+'Финан-е'!T50+'Финан-е'!T62</f>
        <v>-31210.843496697122</v>
      </c>
      <c r="T19" s="82">
        <f>'Финан-е'!U23+'Финан-е'!U35+'Финан-е'!U50+'Финан-е'!U62</f>
        <v>-33001.44902114835</v>
      </c>
      <c r="U19" s="82">
        <f>'Финан-е'!V23+'Финан-е'!V35+'Финан-е'!V50+'Финан-е'!V62</f>
        <v>-34894.783846860999</v>
      </c>
      <c r="V19" s="82">
        <f>'Финан-е'!W23+'Финан-е'!W35+'Финан-е'!W50+'Финан-е'!W62</f>
        <v>-36896.741683640801</v>
      </c>
      <c r="W19" s="82">
        <f>'Финан-е'!X23+'Финан-е'!X35+'Финан-е'!X50+'Финан-е'!X62</f>
        <v>-39013.554370871403</v>
      </c>
      <c r="X19" s="35"/>
    </row>
    <row r="20" spans="2:24" s="27" customFormat="1" x14ac:dyDescent="0.2">
      <c r="B20" s="28" t="s">
        <v>255</v>
      </c>
      <c r="C20" s="80" t="s">
        <v>117</v>
      </c>
      <c r="D20" s="123">
        <f>SUM(D16:D19)</f>
        <v>1003.9971102098716</v>
      </c>
      <c r="E20" s="123">
        <f t="shared" ref="E20:W20" si="5">SUM(E16:E19)</f>
        <v>2065.5948031231587</v>
      </c>
      <c r="F20" s="123">
        <f t="shared" si="5"/>
        <v>3188.0976969444691</v>
      </c>
      <c r="G20" s="123">
        <f t="shared" si="5"/>
        <v>4374.9999999999973</v>
      </c>
      <c r="H20" s="123">
        <f t="shared" si="5"/>
        <v>5629.9963877623368</v>
      </c>
      <c r="I20" s="123">
        <f t="shared" si="5"/>
        <v>6956.9935039039456</v>
      </c>
      <c r="J20" s="123">
        <f t="shared" si="5"/>
        <v>7356.1250109707116</v>
      </c>
      <c r="K20" s="123">
        <f t="shared" si="5"/>
        <v>-4.4803123165365832E-2</v>
      </c>
      <c r="L20" s="123">
        <f t="shared" si="5"/>
        <v>-4.7373534947446075E-2</v>
      </c>
      <c r="M20" s="123">
        <f t="shared" si="5"/>
        <v>-5.0091414501026776E-2</v>
      </c>
      <c r="N20" s="123">
        <f t="shared" si="5"/>
        <v>-5.2965222238475676E-2</v>
      </c>
      <c r="O20" s="123">
        <f t="shared" si="5"/>
        <v>-5.600390395670729E-2</v>
      </c>
      <c r="P20" s="123">
        <f t="shared" si="5"/>
        <v>-26401.159216918681</v>
      </c>
      <c r="Q20" s="123">
        <f t="shared" si="5"/>
        <v>-27915.827077488801</v>
      </c>
      <c r="R20" s="123">
        <f t="shared" si="5"/>
        <v>-29517.393346912642</v>
      </c>
      <c r="S20" s="123">
        <f t="shared" si="5"/>
        <v>-31210.843496697122</v>
      </c>
      <c r="T20" s="123">
        <f t="shared" si="5"/>
        <v>-33001.44902114835</v>
      </c>
      <c r="U20" s="123">
        <f t="shared" si="5"/>
        <v>-34894.783846860999</v>
      </c>
      <c r="V20" s="123">
        <f t="shared" si="5"/>
        <v>-36896.741683640801</v>
      </c>
      <c r="W20" s="123">
        <f t="shared" si="5"/>
        <v>-39013.554370871403</v>
      </c>
    </row>
    <row r="21" spans="2:24" x14ac:dyDescent="0.2">
      <c r="C21" s="80"/>
    </row>
  </sheetData>
  <phoneticPr fontId="0" type="noConversion"/>
  <hyperlinks>
    <hyperlink ref="B1" r:id="rId1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124"/>
  <sheetViews>
    <sheetView zoomScale="85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1" sqref="D1"/>
    </sheetView>
  </sheetViews>
  <sheetFormatPr defaultRowHeight="12.75" x14ac:dyDescent="0.2"/>
  <cols>
    <col min="1" max="1" width="3.7109375" style="1" customWidth="1"/>
    <col min="2" max="2" width="5.42578125" style="1" customWidth="1"/>
    <col min="3" max="3" width="3.7109375" style="1" customWidth="1"/>
    <col min="4" max="4" width="27.85546875" style="1" customWidth="1"/>
    <col min="5" max="5" width="8" style="1" customWidth="1"/>
    <col min="6" max="6" width="9" style="1" customWidth="1"/>
    <col min="7" max="7" width="11.7109375" style="1" bestFit="1" customWidth="1"/>
    <col min="8" max="26" width="11.42578125" style="1" bestFit="1" customWidth="1"/>
    <col min="27" max="27" width="9.7109375" style="102" bestFit="1" customWidth="1"/>
    <col min="28" max="28" width="9.140625" style="107" customWidth="1"/>
    <col min="29" max="29" width="9.140625" style="95" customWidth="1"/>
    <col min="30" max="16384" width="9.140625" style="1"/>
  </cols>
  <sheetData>
    <row r="1" spans="1:29" ht="18" x14ac:dyDescent="0.25">
      <c r="D1" s="319" t="s">
        <v>573</v>
      </c>
    </row>
    <row r="2" spans="1:29" s="2" customFormat="1" x14ac:dyDescent="0.2">
      <c r="A2" s="11" t="s">
        <v>321</v>
      </c>
      <c r="B2" s="11"/>
      <c r="C2" s="12"/>
      <c r="D2" s="12"/>
      <c r="E2" s="2" t="s">
        <v>149</v>
      </c>
      <c r="F2" s="2" t="s">
        <v>108</v>
      </c>
      <c r="G2" s="3" t="s">
        <v>87</v>
      </c>
      <c r="H2" s="3" t="s">
        <v>88</v>
      </c>
      <c r="I2" s="3" t="s">
        <v>89</v>
      </c>
      <c r="J2" s="3" t="s">
        <v>90</v>
      </c>
      <c r="K2" s="4" t="s">
        <v>91</v>
      </c>
      <c r="L2" s="4" t="s">
        <v>92</v>
      </c>
      <c r="M2" s="4" t="s">
        <v>93</v>
      </c>
      <c r="N2" s="4" t="s">
        <v>94</v>
      </c>
      <c r="O2" s="5" t="s">
        <v>95</v>
      </c>
      <c r="P2" s="5" t="s">
        <v>96</v>
      </c>
      <c r="Q2" s="5" t="s">
        <v>97</v>
      </c>
      <c r="R2" s="5" t="s">
        <v>98</v>
      </c>
      <c r="S2" s="6" t="s">
        <v>99</v>
      </c>
      <c r="T2" s="6" t="s">
        <v>100</v>
      </c>
      <c r="U2" s="6" t="s">
        <v>101</v>
      </c>
      <c r="V2" s="6" t="s">
        <v>102</v>
      </c>
      <c r="W2" s="7" t="s">
        <v>103</v>
      </c>
      <c r="X2" s="7" t="s">
        <v>104</v>
      </c>
      <c r="Y2" s="7" t="s">
        <v>105</v>
      </c>
      <c r="Z2" s="7" t="s">
        <v>106</v>
      </c>
      <c r="AA2" s="102" t="s">
        <v>107</v>
      </c>
      <c r="AB2" s="103" t="s">
        <v>379</v>
      </c>
      <c r="AC2" s="96"/>
    </row>
    <row r="4" spans="1:29" s="35" customFormat="1" x14ac:dyDescent="0.2">
      <c r="A4" s="40" t="s">
        <v>320</v>
      </c>
      <c r="B4" s="36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104"/>
      <c r="AB4" s="105"/>
      <c r="AC4" s="110"/>
    </row>
    <row r="5" spans="1:29" s="35" customFormat="1" x14ac:dyDescent="0.2">
      <c r="B5" s="26" t="s">
        <v>53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104"/>
      <c r="AB5" s="105"/>
      <c r="AC5" s="110"/>
    </row>
    <row r="6" spans="1:29" s="35" customFormat="1" x14ac:dyDescent="0.2">
      <c r="B6" s="36"/>
      <c r="C6" s="35" t="s">
        <v>322</v>
      </c>
      <c r="E6" s="30">
        <v>10</v>
      </c>
      <c r="F6" s="80" t="s">
        <v>117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104"/>
      <c r="AB6" s="105"/>
      <c r="AC6" s="110"/>
    </row>
    <row r="7" spans="1:29" s="35" customFormat="1" x14ac:dyDescent="0.2">
      <c r="B7" s="36"/>
      <c r="C7" s="44" t="s">
        <v>139</v>
      </c>
      <c r="E7" s="29">
        <f>E6-E6/(1+Окружение!D13)</f>
        <v>0.90909090909091006</v>
      </c>
      <c r="F7" s="80" t="s">
        <v>117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104"/>
      <c r="AB7" s="105"/>
      <c r="AC7" s="110"/>
    </row>
    <row r="8" spans="1:29" s="35" customFormat="1" x14ac:dyDescent="0.2">
      <c r="B8" s="36"/>
      <c r="C8" s="35" t="s">
        <v>431</v>
      </c>
      <c r="F8" s="80"/>
      <c r="G8" s="48">
        <v>1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106">
        <f>SUM(G8:Z8)</f>
        <v>1</v>
      </c>
      <c r="AB8" s="105" t="b">
        <f>AA8=100%</f>
        <v>1</v>
      </c>
      <c r="AC8" s="110"/>
    </row>
    <row r="9" spans="1:29" x14ac:dyDescent="0.2">
      <c r="B9" s="36"/>
      <c r="C9" s="1" t="s">
        <v>152</v>
      </c>
      <c r="D9" s="35"/>
      <c r="E9" s="48">
        <v>1.2500000000000001E-2</v>
      </c>
      <c r="F9" s="80" t="s">
        <v>123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104"/>
    </row>
    <row r="10" spans="1:29" x14ac:dyDescent="0.2">
      <c r="B10" s="36"/>
      <c r="D10" s="35"/>
      <c r="E10" s="35"/>
      <c r="F10" s="80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104"/>
    </row>
    <row r="11" spans="1:29" x14ac:dyDescent="0.2">
      <c r="B11" s="36"/>
      <c r="C11" s="1" t="s">
        <v>432</v>
      </c>
      <c r="D11" s="35"/>
      <c r="E11" s="35"/>
      <c r="F11" s="80" t="s">
        <v>117</v>
      </c>
      <c r="G11" s="82">
        <f>$E6*G8</f>
        <v>10</v>
      </c>
      <c r="H11" s="82">
        <f t="shared" ref="H11:Y11" si="0">$E6*H8</f>
        <v>0</v>
      </c>
      <c r="I11" s="82">
        <f t="shared" si="0"/>
        <v>0</v>
      </c>
      <c r="J11" s="82">
        <f t="shared" si="0"/>
        <v>0</v>
      </c>
      <c r="K11" s="82">
        <f t="shared" si="0"/>
        <v>0</v>
      </c>
      <c r="L11" s="82">
        <f t="shared" si="0"/>
        <v>0</v>
      </c>
      <c r="M11" s="82">
        <f t="shared" si="0"/>
        <v>0</v>
      </c>
      <c r="N11" s="82">
        <f t="shared" si="0"/>
        <v>0</v>
      </c>
      <c r="O11" s="82">
        <f t="shared" si="0"/>
        <v>0</v>
      </c>
      <c r="P11" s="82">
        <f t="shared" si="0"/>
        <v>0</v>
      </c>
      <c r="Q11" s="82">
        <f t="shared" si="0"/>
        <v>0</v>
      </c>
      <c r="R11" s="82">
        <f t="shared" si="0"/>
        <v>0</v>
      </c>
      <c r="S11" s="82">
        <f t="shared" si="0"/>
        <v>0</v>
      </c>
      <c r="T11" s="82">
        <f t="shared" si="0"/>
        <v>0</v>
      </c>
      <c r="U11" s="82">
        <f t="shared" si="0"/>
        <v>0</v>
      </c>
      <c r="V11" s="82">
        <f t="shared" si="0"/>
        <v>0</v>
      </c>
      <c r="W11" s="82">
        <f t="shared" si="0"/>
        <v>0</v>
      </c>
      <c r="X11" s="82">
        <f t="shared" si="0"/>
        <v>0</v>
      </c>
      <c r="Y11" s="82">
        <f t="shared" si="0"/>
        <v>0</v>
      </c>
      <c r="Z11" s="82">
        <f>$E6*Z8</f>
        <v>0</v>
      </c>
      <c r="AA11" s="104">
        <f>SUM(G11:Z11)</f>
        <v>10</v>
      </c>
      <c r="AB11" s="105" t="b">
        <f>AA11=E6</f>
        <v>1</v>
      </c>
    </row>
    <row r="12" spans="1:29" x14ac:dyDescent="0.2">
      <c r="B12" s="36"/>
      <c r="C12" s="44" t="s">
        <v>139</v>
      </c>
      <c r="D12" s="35"/>
      <c r="E12" s="35"/>
      <c r="F12" s="80" t="s">
        <v>117</v>
      </c>
      <c r="G12" s="82">
        <f>$E7*G8</f>
        <v>0.90909090909091006</v>
      </c>
      <c r="H12" s="82">
        <f t="shared" ref="H12:Z12" si="1">$E7*H8</f>
        <v>0</v>
      </c>
      <c r="I12" s="82">
        <f>$E7*I8</f>
        <v>0</v>
      </c>
      <c r="J12" s="82">
        <f t="shared" si="1"/>
        <v>0</v>
      </c>
      <c r="K12" s="82">
        <f t="shared" si="1"/>
        <v>0</v>
      </c>
      <c r="L12" s="82">
        <f t="shared" si="1"/>
        <v>0</v>
      </c>
      <c r="M12" s="82">
        <f t="shared" si="1"/>
        <v>0</v>
      </c>
      <c r="N12" s="82">
        <f t="shared" si="1"/>
        <v>0</v>
      </c>
      <c r="O12" s="82">
        <f t="shared" si="1"/>
        <v>0</v>
      </c>
      <c r="P12" s="82">
        <f t="shared" si="1"/>
        <v>0</v>
      </c>
      <c r="Q12" s="82">
        <f t="shared" si="1"/>
        <v>0</v>
      </c>
      <c r="R12" s="82">
        <f t="shared" si="1"/>
        <v>0</v>
      </c>
      <c r="S12" s="82">
        <f t="shared" si="1"/>
        <v>0</v>
      </c>
      <c r="T12" s="82">
        <f t="shared" si="1"/>
        <v>0</v>
      </c>
      <c r="U12" s="82">
        <f t="shared" si="1"/>
        <v>0</v>
      </c>
      <c r="V12" s="82">
        <f t="shared" si="1"/>
        <v>0</v>
      </c>
      <c r="W12" s="82">
        <f t="shared" si="1"/>
        <v>0</v>
      </c>
      <c r="X12" s="82">
        <f t="shared" si="1"/>
        <v>0</v>
      </c>
      <c r="Y12" s="82">
        <f t="shared" si="1"/>
        <v>0</v>
      </c>
      <c r="Z12" s="82">
        <f t="shared" si="1"/>
        <v>0</v>
      </c>
      <c r="AA12" s="108">
        <f>SUM(G12:Z12)</f>
        <v>0.90909090909091006</v>
      </c>
      <c r="AB12" s="105" t="b">
        <f>AA12=E7</f>
        <v>1</v>
      </c>
    </row>
    <row r="13" spans="1:29" x14ac:dyDescent="0.2">
      <c r="B13" s="36"/>
      <c r="C13" s="35" t="s">
        <v>433</v>
      </c>
      <c r="D13" s="35"/>
      <c r="E13" s="35"/>
      <c r="F13" s="80" t="s">
        <v>117</v>
      </c>
      <c r="G13" s="82">
        <f>G11-G12</f>
        <v>9.0909090909090899</v>
      </c>
      <c r="H13" s="82">
        <f>G13+(H11-H12)</f>
        <v>9.0909090909090899</v>
      </c>
      <c r="I13" s="82">
        <f>H13+(I11-I12)</f>
        <v>9.0909090909090899</v>
      </c>
      <c r="J13" s="82">
        <f>I13+(J11-J12)</f>
        <v>9.0909090909090899</v>
      </c>
      <c r="K13" s="82">
        <f>J13+(K11-K12)</f>
        <v>9.0909090909090899</v>
      </c>
      <c r="L13" s="82">
        <f>K13+(L11-L12)</f>
        <v>9.0909090909090899</v>
      </c>
      <c r="M13" s="82">
        <f t="shared" ref="M13:Z13" si="2">L13+(M11-M12)</f>
        <v>9.0909090909090899</v>
      </c>
      <c r="N13" s="82">
        <f t="shared" si="2"/>
        <v>9.0909090909090899</v>
      </c>
      <c r="O13" s="82">
        <f t="shared" si="2"/>
        <v>9.0909090909090899</v>
      </c>
      <c r="P13" s="82">
        <f t="shared" si="2"/>
        <v>9.0909090909090899</v>
      </c>
      <c r="Q13" s="82">
        <f t="shared" si="2"/>
        <v>9.0909090909090899</v>
      </c>
      <c r="R13" s="82">
        <f t="shared" si="2"/>
        <v>9.0909090909090899</v>
      </c>
      <c r="S13" s="82">
        <f t="shared" si="2"/>
        <v>9.0909090909090899</v>
      </c>
      <c r="T13" s="82">
        <f t="shared" si="2"/>
        <v>9.0909090909090899</v>
      </c>
      <c r="U13" s="82">
        <f t="shared" si="2"/>
        <v>9.0909090909090899</v>
      </c>
      <c r="V13" s="82">
        <f t="shared" si="2"/>
        <v>9.0909090909090899</v>
      </c>
      <c r="W13" s="82">
        <f t="shared" si="2"/>
        <v>9.0909090909090899</v>
      </c>
      <c r="X13" s="82">
        <f t="shared" si="2"/>
        <v>9.0909090909090899</v>
      </c>
      <c r="Y13" s="82">
        <f t="shared" si="2"/>
        <v>9.0909090909090899</v>
      </c>
      <c r="Z13" s="82">
        <f t="shared" si="2"/>
        <v>9.0909090909090899</v>
      </c>
      <c r="AA13" s="108"/>
      <c r="AB13" s="105"/>
    </row>
    <row r="14" spans="1:29" x14ac:dyDescent="0.2">
      <c r="B14" s="36"/>
      <c r="C14" s="1" t="s">
        <v>230</v>
      </c>
      <c r="D14" s="35"/>
      <c r="E14" s="35"/>
      <c r="F14" s="80" t="s">
        <v>117</v>
      </c>
      <c r="G14" s="82">
        <f>IF(G13&lt;($E$6-$E$7),G13,0)</f>
        <v>0</v>
      </c>
      <c r="H14" s="82">
        <f>IF(H13&lt;($E$6-$E$7),H13,0)</f>
        <v>0</v>
      </c>
      <c r="I14" s="82">
        <f t="shared" ref="I14:Z14" si="3">IF(I13&lt;($E$6-$E$7),I13,0)</f>
        <v>0</v>
      </c>
      <c r="J14" s="82">
        <f t="shared" si="3"/>
        <v>0</v>
      </c>
      <c r="K14" s="82">
        <f t="shared" si="3"/>
        <v>0</v>
      </c>
      <c r="L14" s="82">
        <f t="shared" si="3"/>
        <v>0</v>
      </c>
      <c r="M14" s="82">
        <f t="shared" si="3"/>
        <v>0</v>
      </c>
      <c r="N14" s="82">
        <f t="shared" si="3"/>
        <v>0</v>
      </c>
      <c r="O14" s="82">
        <f t="shared" si="3"/>
        <v>0</v>
      </c>
      <c r="P14" s="82">
        <f t="shared" si="3"/>
        <v>0</v>
      </c>
      <c r="Q14" s="82">
        <f t="shared" si="3"/>
        <v>0</v>
      </c>
      <c r="R14" s="82">
        <f t="shared" si="3"/>
        <v>0</v>
      </c>
      <c r="S14" s="82">
        <f t="shared" si="3"/>
        <v>0</v>
      </c>
      <c r="T14" s="82">
        <f t="shared" si="3"/>
        <v>0</v>
      </c>
      <c r="U14" s="82">
        <f t="shared" si="3"/>
        <v>0</v>
      </c>
      <c r="V14" s="82">
        <f t="shared" si="3"/>
        <v>0</v>
      </c>
      <c r="W14" s="82">
        <f t="shared" si="3"/>
        <v>0</v>
      </c>
      <c r="X14" s="82">
        <f t="shared" si="3"/>
        <v>0</v>
      </c>
      <c r="Y14" s="82">
        <f t="shared" si="3"/>
        <v>0</v>
      </c>
      <c r="Z14" s="82">
        <f t="shared" si="3"/>
        <v>0</v>
      </c>
      <c r="AA14" s="108"/>
      <c r="AB14" s="105"/>
    </row>
    <row r="15" spans="1:29" x14ac:dyDescent="0.2">
      <c r="B15" s="36"/>
      <c r="C15" s="1" t="s">
        <v>244</v>
      </c>
      <c r="D15" s="35"/>
      <c r="E15" s="35"/>
      <c r="F15" s="80" t="s">
        <v>117</v>
      </c>
      <c r="G15" s="82">
        <f>IF(G13=($E$6-$E$7),($E$6-$E$7),0)</f>
        <v>9.0909090909090899</v>
      </c>
      <c r="H15" s="82">
        <f t="shared" ref="H15:Z15" si="4">IF(H13=($E$6-$E$7),($E$6-$E$7),0)</f>
        <v>9.0909090909090899</v>
      </c>
      <c r="I15" s="82">
        <f>IF(I13=($E$6-$E$7),($E$6-$E$7),0)</f>
        <v>9.0909090909090899</v>
      </c>
      <c r="J15" s="82">
        <f t="shared" si="4"/>
        <v>9.0909090909090899</v>
      </c>
      <c r="K15" s="82">
        <f t="shared" si="4"/>
        <v>9.0909090909090899</v>
      </c>
      <c r="L15" s="82">
        <f t="shared" si="4"/>
        <v>9.0909090909090899</v>
      </c>
      <c r="M15" s="82">
        <f t="shared" si="4"/>
        <v>9.0909090909090899</v>
      </c>
      <c r="N15" s="82">
        <f t="shared" si="4"/>
        <v>9.0909090909090899</v>
      </c>
      <c r="O15" s="82">
        <f t="shared" si="4"/>
        <v>9.0909090909090899</v>
      </c>
      <c r="P15" s="82">
        <f t="shared" si="4"/>
        <v>9.0909090909090899</v>
      </c>
      <c r="Q15" s="82">
        <f t="shared" si="4"/>
        <v>9.0909090909090899</v>
      </c>
      <c r="R15" s="82">
        <f t="shared" si="4"/>
        <v>9.0909090909090899</v>
      </c>
      <c r="S15" s="82">
        <f t="shared" si="4"/>
        <v>9.0909090909090899</v>
      </c>
      <c r="T15" s="82">
        <f t="shared" si="4"/>
        <v>9.0909090909090899</v>
      </c>
      <c r="U15" s="82">
        <f t="shared" si="4"/>
        <v>9.0909090909090899</v>
      </c>
      <c r="V15" s="82">
        <f t="shared" si="4"/>
        <v>9.0909090909090899</v>
      </c>
      <c r="W15" s="82">
        <f t="shared" si="4"/>
        <v>9.0909090909090899</v>
      </c>
      <c r="X15" s="82">
        <f t="shared" si="4"/>
        <v>9.0909090909090899</v>
      </c>
      <c r="Y15" s="82">
        <f>IF(Y13=($E$6-$E$7),($E$6-$E$7),0)</f>
        <v>9.0909090909090899</v>
      </c>
      <c r="Z15" s="82">
        <f t="shared" si="4"/>
        <v>9.0909090909090899</v>
      </c>
      <c r="AA15" s="108"/>
    </row>
    <row r="16" spans="1:29" hidden="1" x14ac:dyDescent="0.2">
      <c r="B16" s="36"/>
      <c r="C16" s="95" t="s">
        <v>375</v>
      </c>
      <c r="D16" s="35"/>
      <c r="E16" s="35"/>
      <c r="F16" s="80" t="s">
        <v>117</v>
      </c>
      <c r="G16" s="97">
        <f>G15*$E$9/4</f>
        <v>2.8409090909090908E-2</v>
      </c>
      <c r="H16" s="97">
        <f t="shared" ref="H16:Z16" si="5">H15*$E$9/4</f>
        <v>2.8409090909090908E-2</v>
      </c>
      <c r="I16" s="97">
        <f t="shared" si="5"/>
        <v>2.8409090909090908E-2</v>
      </c>
      <c r="J16" s="97">
        <f t="shared" si="5"/>
        <v>2.8409090909090908E-2</v>
      </c>
      <c r="K16" s="97">
        <f t="shared" si="5"/>
        <v>2.8409090909090908E-2</v>
      </c>
      <c r="L16" s="97">
        <f t="shared" si="5"/>
        <v>2.8409090909090908E-2</v>
      </c>
      <c r="M16" s="97">
        <f t="shared" si="5"/>
        <v>2.8409090909090908E-2</v>
      </c>
      <c r="N16" s="97">
        <f t="shared" si="5"/>
        <v>2.8409090909090908E-2</v>
      </c>
      <c r="O16" s="97">
        <f t="shared" si="5"/>
        <v>2.8409090909090908E-2</v>
      </c>
      <c r="P16" s="97">
        <f t="shared" si="5"/>
        <v>2.8409090909090908E-2</v>
      </c>
      <c r="Q16" s="97">
        <f t="shared" si="5"/>
        <v>2.8409090909090908E-2</v>
      </c>
      <c r="R16" s="97">
        <f t="shared" si="5"/>
        <v>2.8409090909090908E-2</v>
      </c>
      <c r="S16" s="97">
        <f t="shared" si="5"/>
        <v>2.8409090909090908E-2</v>
      </c>
      <c r="T16" s="97">
        <f t="shared" si="5"/>
        <v>2.8409090909090908E-2</v>
      </c>
      <c r="U16" s="97">
        <f t="shared" si="5"/>
        <v>2.8409090909090908E-2</v>
      </c>
      <c r="V16" s="97">
        <f t="shared" si="5"/>
        <v>2.8409090909090908E-2</v>
      </c>
      <c r="W16" s="97">
        <f t="shared" si="5"/>
        <v>2.8409090909090908E-2</v>
      </c>
      <c r="X16" s="97">
        <f t="shared" si="5"/>
        <v>2.8409090909090908E-2</v>
      </c>
      <c r="Y16" s="97">
        <f t="shared" si="5"/>
        <v>2.8409090909090908E-2</v>
      </c>
      <c r="Z16" s="97">
        <f t="shared" si="5"/>
        <v>2.8409090909090908E-2</v>
      </c>
      <c r="AA16" s="108"/>
    </row>
    <row r="17" spans="2:29" s="64" customFormat="1" x14ac:dyDescent="0.2">
      <c r="B17" s="36"/>
      <c r="C17" s="1" t="s">
        <v>154</v>
      </c>
      <c r="D17" s="35"/>
      <c r="E17" s="35"/>
      <c r="F17" s="80" t="s">
        <v>117</v>
      </c>
      <c r="G17" s="82">
        <f>IF(AND(G15&gt;0,SUM(G16)&lt;=($E$6-$E$7)),G15*$E$9/4,0)</f>
        <v>2.8409090909090908E-2</v>
      </c>
      <c r="H17" s="82">
        <f>IF(AND(H15&gt;0,SUM($G16:H16)&lt;=($E$6-$E$7)),H15*$E$9/4,0)</f>
        <v>2.8409090909090908E-2</v>
      </c>
      <c r="I17" s="82">
        <f>IF(AND(I15&gt;0,SUM($G16:I16)&lt;=($E$6-$E$7)),I15*$E$9/4,0)</f>
        <v>2.8409090909090908E-2</v>
      </c>
      <c r="J17" s="82">
        <f>IF(AND(J15&gt;0,SUM($G16:J16)&lt;=($E$6-$E$7)),J15*$E$9/4,0)</f>
        <v>2.8409090909090908E-2</v>
      </c>
      <c r="K17" s="82">
        <f>IF(AND(K15&gt;0,SUM($G16:K16)&lt;=($E$6-$E$7)),K15*$E$9/4,0)</f>
        <v>2.8409090909090908E-2</v>
      </c>
      <c r="L17" s="82">
        <f>IF(AND(L15&gt;0,SUM($G16:L16)&lt;=($E$6-$E$7)),L15*$E$9/4,0)</f>
        <v>2.8409090909090908E-2</v>
      </c>
      <c r="M17" s="82">
        <f>IF(AND(M15&gt;0,SUM($G16:M16)&lt;=($E$6-$E$7)),M15*$E$9/4,0)</f>
        <v>2.8409090909090908E-2</v>
      </c>
      <c r="N17" s="82">
        <f>IF(AND(N15&gt;0,SUM($G16:N16)&lt;=($E$6-$E$7)),N15*$E$9/4,0)</f>
        <v>2.8409090909090908E-2</v>
      </c>
      <c r="O17" s="82">
        <f>IF(AND(O15&gt;0,SUM($G16:O16)&lt;=($E$6-$E$7)),O15*$E$9/4,0)</f>
        <v>2.8409090909090908E-2</v>
      </c>
      <c r="P17" s="82">
        <f>IF(AND(P15&gt;0,SUM($G16:P16)&lt;=($E$6-$E$7)),P15*$E$9/4,0)</f>
        <v>2.8409090909090908E-2</v>
      </c>
      <c r="Q17" s="82">
        <f>IF(AND(Q15&gt;0,SUM($G16:Q16)&lt;=($E$6-$E$7)),Q15*$E$9/4,0)</f>
        <v>2.8409090909090908E-2</v>
      </c>
      <c r="R17" s="82">
        <f>IF(AND(R15&gt;0,SUM($G16:R16)&lt;=($E$6-$E$7)),R15*$E$9/4,0)</f>
        <v>2.8409090909090908E-2</v>
      </c>
      <c r="S17" s="82">
        <f>IF(AND(S15&gt;0,SUM($G16:S16)&lt;=($E$6-$E$7)),S15*$E$9/4,0)</f>
        <v>2.8409090909090908E-2</v>
      </c>
      <c r="T17" s="82">
        <f>IF(AND(T15&gt;0,SUM($G16:T16)&lt;=($E$6-$E$7)),T15*$E$9/4,0)</f>
        <v>2.8409090909090908E-2</v>
      </c>
      <c r="U17" s="82">
        <f>IF(AND(U15&gt;0,SUM($G16:U16)&lt;=($E$6-$E$7)),U15*$E$9/4,0)</f>
        <v>2.8409090909090908E-2</v>
      </c>
      <c r="V17" s="82">
        <f>IF(AND(V15&gt;0,SUM($G16:V16)&lt;=($E$6-$E$7)),V15*$E$9/4,0)</f>
        <v>2.8409090909090908E-2</v>
      </c>
      <c r="W17" s="82">
        <f>IF(AND(W15&gt;0,SUM($G16:W16)&lt;=($E$6-$E$7)),W15*$E$9/4,0)</f>
        <v>2.8409090909090908E-2</v>
      </c>
      <c r="X17" s="82">
        <f>IF(AND(X15&gt;0,SUM($G16:X16)&lt;=($E$6-$E$7)),X15*$E$9/4,0)</f>
        <v>2.8409090909090908E-2</v>
      </c>
      <c r="Y17" s="82">
        <f>IF(AND(Y15&gt;0,SUM($G16:Y16)&lt;=($E$6-$E$7)),Y15*$E$9/4,0)</f>
        <v>2.8409090909090908E-2</v>
      </c>
      <c r="Z17" s="82">
        <f>IF(AND(Z15&gt;0,SUM($G16:Z16)&lt;=($E$6-$E$7)),Z15*$E$9/4,0)</f>
        <v>2.8409090909090908E-2</v>
      </c>
      <c r="AA17" s="108">
        <f>SUM(G17:Z17)</f>
        <v>0.56818181818181801</v>
      </c>
      <c r="AB17" s="107"/>
      <c r="AC17" s="95"/>
    </row>
    <row r="18" spans="2:29" s="64" customFormat="1" x14ac:dyDescent="0.2">
      <c r="B18" s="36"/>
      <c r="C18" s="1" t="s">
        <v>156</v>
      </c>
      <c r="D18" s="35"/>
      <c r="E18" s="35"/>
      <c r="F18" s="80" t="s">
        <v>117</v>
      </c>
      <c r="G18" s="82">
        <f>G17</f>
        <v>2.8409090909090908E-2</v>
      </c>
      <c r="H18" s="82">
        <f>G18+H17</f>
        <v>5.6818181818181816E-2</v>
      </c>
      <c r="I18" s="82">
        <f t="shared" ref="I18:Y18" si="6">H18+I17</f>
        <v>8.5227272727272721E-2</v>
      </c>
      <c r="J18" s="82">
        <f t="shared" si="6"/>
        <v>0.11363636363636363</v>
      </c>
      <c r="K18" s="82">
        <f t="shared" si="6"/>
        <v>0.14204545454545453</v>
      </c>
      <c r="L18" s="82">
        <f t="shared" si="6"/>
        <v>0.17045454545454544</v>
      </c>
      <c r="M18" s="82">
        <f t="shared" si="6"/>
        <v>0.19886363636363635</v>
      </c>
      <c r="N18" s="82">
        <f t="shared" si="6"/>
        <v>0.22727272727272727</v>
      </c>
      <c r="O18" s="82">
        <f t="shared" si="6"/>
        <v>0.25568181818181818</v>
      </c>
      <c r="P18" s="82">
        <f t="shared" si="6"/>
        <v>0.28409090909090906</v>
      </c>
      <c r="Q18" s="82">
        <f t="shared" si="6"/>
        <v>0.31249999999999994</v>
      </c>
      <c r="R18" s="82">
        <f t="shared" si="6"/>
        <v>0.34090909090909083</v>
      </c>
      <c r="S18" s="82">
        <f t="shared" si="6"/>
        <v>0.36931818181818171</v>
      </c>
      <c r="T18" s="82">
        <f t="shared" si="6"/>
        <v>0.3977272727272726</v>
      </c>
      <c r="U18" s="82">
        <f t="shared" si="6"/>
        <v>0.42613636363636348</v>
      </c>
      <c r="V18" s="82">
        <f t="shared" si="6"/>
        <v>0.45454545454545436</v>
      </c>
      <c r="W18" s="82">
        <f t="shared" si="6"/>
        <v>0.48295454545454525</v>
      </c>
      <c r="X18" s="82">
        <f t="shared" si="6"/>
        <v>0.51136363636363613</v>
      </c>
      <c r="Y18" s="82">
        <f t="shared" si="6"/>
        <v>0.53977272727272707</v>
      </c>
      <c r="Z18" s="82">
        <f>Y18+Z17</f>
        <v>0.56818181818181801</v>
      </c>
      <c r="AA18" s="104"/>
      <c r="AB18" s="107"/>
      <c r="AC18" s="95"/>
    </row>
    <row r="19" spans="2:29" s="64" customFormat="1" x14ac:dyDescent="0.2">
      <c r="B19" s="36"/>
      <c r="C19" s="64" t="s">
        <v>245</v>
      </c>
      <c r="D19" s="35"/>
      <c r="E19" s="35"/>
      <c r="F19" s="80" t="s">
        <v>117</v>
      </c>
      <c r="G19" s="98">
        <f>G15-G18</f>
        <v>9.0624999999999982</v>
      </c>
      <c r="H19" s="98">
        <f t="shared" ref="H19:Z19" si="7">H15-H18</f>
        <v>9.0340909090909083</v>
      </c>
      <c r="I19" s="98">
        <f t="shared" si="7"/>
        <v>9.0056818181818166</v>
      </c>
      <c r="J19" s="98">
        <f t="shared" si="7"/>
        <v>8.9772727272727266</v>
      </c>
      <c r="K19" s="98">
        <f t="shared" si="7"/>
        <v>8.9488636363636349</v>
      </c>
      <c r="L19" s="98">
        <f t="shared" si="7"/>
        <v>8.920454545454545</v>
      </c>
      <c r="M19" s="98">
        <f t="shared" si="7"/>
        <v>8.8920454545454533</v>
      </c>
      <c r="N19" s="98">
        <f t="shared" si="7"/>
        <v>8.8636363636363633</v>
      </c>
      <c r="O19" s="98">
        <f t="shared" si="7"/>
        <v>8.8352272727272716</v>
      </c>
      <c r="P19" s="98">
        <f t="shared" si="7"/>
        <v>8.8068181818181817</v>
      </c>
      <c r="Q19" s="98">
        <f t="shared" si="7"/>
        <v>8.7784090909090899</v>
      </c>
      <c r="R19" s="98">
        <f t="shared" si="7"/>
        <v>8.75</v>
      </c>
      <c r="S19" s="98">
        <f t="shared" si="7"/>
        <v>8.7215909090909083</v>
      </c>
      <c r="T19" s="98">
        <f t="shared" si="7"/>
        <v>8.6931818181818166</v>
      </c>
      <c r="U19" s="98">
        <f t="shared" si="7"/>
        <v>8.6647727272727266</v>
      </c>
      <c r="V19" s="98">
        <f t="shared" si="7"/>
        <v>8.6363636363636349</v>
      </c>
      <c r="W19" s="98">
        <f t="shared" si="7"/>
        <v>8.607954545454545</v>
      </c>
      <c r="X19" s="98">
        <f t="shared" si="7"/>
        <v>8.5795454545454533</v>
      </c>
      <c r="Y19" s="98">
        <f t="shared" si="7"/>
        <v>8.5511363636363633</v>
      </c>
      <c r="Z19" s="98">
        <f t="shared" si="7"/>
        <v>8.5227272727272716</v>
      </c>
      <c r="AA19" s="104"/>
      <c r="AB19" s="107"/>
      <c r="AC19" s="95"/>
    </row>
    <row r="20" spans="2:29" x14ac:dyDescent="0.2">
      <c r="B20" s="36"/>
      <c r="D20" s="35"/>
      <c r="E20" s="35"/>
      <c r="F20" s="80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104"/>
    </row>
    <row r="21" spans="2:29" s="35" customFormat="1" x14ac:dyDescent="0.2">
      <c r="B21" s="26" t="s">
        <v>54</v>
      </c>
      <c r="F21" s="80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104"/>
      <c r="AB21" s="105"/>
      <c r="AC21" s="110"/>
    </row>
    <row r="22" spans="2:29" s="35" customFormat="1" x14ac:dyDescent="0.2">
      <c r="C22" s="35" t="s">
        <v>322</v>
      </c>
      <c r="E22" s="30">
        <v>9</v>
      </c>
      <c r="F22" s="80" t="s">
        <v>117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104"/>
      <c r="AB22" s="105"/>
      <c r="AC22" s="110"/>
    </row>
    <row r="23" spans="2:29" s="35" customFormat="1" x14ac:dyDescent="0.2">
      <c r="C23" s="44" t="s">
        <v>139</v>
      </c>
      <c r="E23" s="29">
        <f>E22-E22/(1+Окружение!D13)</f>
        <v>0.81818181818181834</v>
      </c>
      <c r="F23" s="80" t="s">
        <v>117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104"/>
      <c r="AB23" s="105"/>
      <c r="AC23" s="110"/>
    </row>
    <row r="24" spans="2:29" s="35" customFormat="1" x14ac:dyDescent="0.2">
      <c r="C24" s="35" t="s">
        <v>431</v>
      </c>
      <c r="F24" s="80"/>
      <c r="G24" s="48">
        <v>1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>
        <v>0</v>
      </c>
      <c r="AA24" s="106">
        <f>SUM(G24:Z24)</f>
        <v>1</v>
      </c>
      <c r="AB24" s="105" t="b">
        <f>AA24=100%</f>
        <v>1</v>
      </c>
      <c r="AC24" s="110"/>
    </row>
    <row r="25" spans="2:29" s="35" customFormat="1" x14ac:dyDescent="0.2">
      <c r="C25" s="1" t="s">
        <v>152</v>
      </c>
      <c r="E25" s="48">
        <v>1.2500000000000001E-2</v>
      </c>
      <c r="F25" s="80" t="s">
        <v>123</v>
      </c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104"/>
      <c r="AB25" s="107"/>
      <c r="AC25" s="110"/>
    </row>
    <row r="26" spans="2:29" x14ac:dyDescent="0.2">
      <c r="D26" s="35"/>
      <c r="E26" s="35"/>
      <c r="F26" s="80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2:29" x14ac:dyDescent="0.2">
      <c r="C27" s="1" t="s">
        <v>434</v>
      </c>
      <c r="D27" s="35"/>
      <c r="E27" s="35"/>
      <c r="F27" s="80" t="s">
        <v>117</v>
      </c>
      <c r="G27" s="82">
        <f>$E22*G24</f>
        <v>9</v>
      </c>
      <c r="H27" s="82">
        <f t="shared" ref="H27:Z27" si="8">$E22*H24</f>
        <v>0</v>
      </c>
      <c r="I27" s="82">
        <f t="shared" si="8"/>
        <v>0</v>
      </c>
      <c r="J27" s="82">
        <f t="shared" si="8"/>
        <v>0</v>
      </c>
      <c r="K27" s="82">
        <f t="shared" si="8"/>
        <v>0</v>
      </c>
      <c r="L27" s="82">
        <f t="shared" si="8"/>
        <v>0</v>
      </c>
      <c r="M27" s="82">
        <f t="shared" si="8"/>
        <v>0</v>
      </c>
      <c r="N27" s="82">
        <f t="shared" si="8"/>
        <v>0</v>
      </c>
      <c r="O27" s="82">
        <f t="shared" si="8"/>
        <v>0</v>
      </c>
      <c r="P27" s="82">
        <f t="shared" si="8"/>
        <v>0</v>
      </c>
      <c r="Q27" s="82">
        <f t="shared" si="8"/>
        <v>0</v>
      </c>
      <c r="R27" s="82">
        <f t="shared" si="8"/>
        <v>0</v>
      </c>
      <c r="S27" s="82">
        <f t="shared" si="8"/>
        <v>0</v>
      </c>
      <c r="T27" s="82">
        <f t="shared" si="8"/>
        <v>0</v>
      </c>
      <c r="U27" s="82">
        <f t="shared" si="8"/>
        <v>0</v>
      </c>
      <c r="V27" s="82">
        <f t="shared" si="8"/>
        <v>0</v>
      </c>
      <c r="W27" s="82">
        <f t="shared" si="8"/>
        <v>0</v>
      </c>
      <c r="X27" s="82">
        <f t="shared" si="8"/>
        <v>0</v>
      </c>
      <c r="Y27" s="82">
        <f t="shared" si="8"/>
        <v>0</v>
      </c>
      <c r="Z27" s="82">
        <f t="shared" si="8"/>
        <v>0</v>
      </c>
      <c r="AA27" s="102">
        <f>SUM(G27:Z27)</f>
        <v>9</v>
      </c>
      <c r="AB27" s="105" t="b">
        <f>AA27=E22</f>
        <v>1</v>
      </c>
    </row>
    <row r="28" spans="2:29" x14ac:dyDescent="0.2">
      <c r="C28" s="44" t="s">
        <v>139</v>
      </c>
      <c r="D28" s="35"/>
      <c r="E28" s="35"/>
      <c r="F28" s="80" t="s">
        <v>117</v>
      </c>
      <c r="G28" s="82">
        <f>$E23*G24</f>
        <v>0.81818181818181834</v>
      </c>
      <c r="H28" s="82">
        <f t="shared" ref="H28:Z28" si="9">$E23*H24</f>
        <v>0</v>
      </c>
      <c r="I28" s="82">
        <f t="shared" si="9"/>
        <v>0</v>
      </c>
      <c r="J28" s="82">
        <f t="shared" si="9"/>
        <v>0</v>
      </c>
      <c r="K28" s="82">
        <f t="shared" si="9"/>
        <v>0</v>
      </c>
      <c r="L28" s="82">
        <f t="shared" si="9"/>
        <v>0</v>
      </c>
      <c r="M28" s="82">
        <f t="shared" si="9"/>
        <v>0</v>
      </c>
      <c r="N28" s="82">
        <f t="shared" si="9"/>
        <v>0</v>
      </c>
      <c r="O28" s="82">
        <f t="shared" si="9"/>
        <v>0</v>
      </c>
      <c r="P28" s="82">
        <f t="shared" si="9"/>
        <v>0</v>
      </c>
      <c r="Q28" s="82">
        <f t="shared" si="9"/>
        <v>0</v>
      </c>
      <c r="R28" s="82">
        <f t="shared" si="9"/>
        <v>0</v>
      </c>
      <c r="S28" s="82">
        <f t="shared" si="9"/>
        <v>0</v>
      </c>
      <c r="T28" s="82">
        <f t="shared" si="9"/>
        <v>0</v>
      </c>
      <c r="U28" s="82">
        <f t="shared" si="9"/>
        <v>0</v>
      </c>
      <c r="V28" s="82">
        <f t="shared" si="9"/>
        <v>0</v>
      </c>
      <c r="W28" s="82">
        <f t="shared" si="9"/>
        <v>0</v>
      </c>
      <c r="X28" s="82">
        <f t="shared" si="9"/>
        <v>0</v>
      </c>
      <c r="Y28" s="82">
        <f t="shared" si="9"/>
        <v>0</v>
      </c>
      <c r="Z28" s="82">
        <f t="shared" si="9"/>
        <v>0</v>
      </c>
      <c r="AA28" s="109">
        <f>SUM(G28:Z28)</f>
        <v>0.81818181818181834</v>
      </c>
      <c r="AB28" s="105" t="b">
        <f>AA28=E23</f>
        <v>1</v>
      </c>
    </row>
    <row r="29" spans="2:29" x14ac:dyDescent="0.2">
      <c r="C29" s="35" t="s">
        <v>433</v>
      </c>
      <c r="D29" s="35"/>
      <c r="E29" s="35"/>
      <c r="F29" s="80" t="s">
        <v>117</v>
      </c>
      <c r="G29" s="82">
        <f>G27-G28</f>
        <v>8.1818181818181817</v>
      </c>
      <c r="H29" s="82">
        <f>G29+H27-H28</f>
        <v>8.1818181818181817</v>
      </c>
      <c r="I29" s="82">
        <f t="shared" ref="I29:Z29" si="10">H29+I27-I28</f>
        <v>8.1818181818181817</v>
      </c>
      <c r="J29" s="82">
        <f t="shared" si="10"/>
        <v>8.1818181818181817</v>
      </c>
      <c r="K29" s="82">
        <f t="shared" si="10"/>
        <v>8.1818181818181817</v>
      </c>
      <c r="L29" s="82">
        <f t="shared" si="10"/>
        <v>8.1818181818181817</v>
      </c>
      <c r="M29" s="82">
        <f t="shared" si="10"/>
        <v>8.1818181818181817</v>
      </c>
      <c r="N29" s="82">
        <f t="shared" si="10"/>
        <v>8.1818181818181817</v>
      </c>
      <c r="O29" s="82">
        <f t="shared" si="10"/>
        <v>8.1818181818181817</v>
      </c>
      <c r="P29" s="82">
        <f t="shared" si="10"/>
        <v>8.1818181818181817</v>
      </c>
      <c r="Q29" s="82">
        <f t="shared" si="10"/>
        <v>8.1818181818181817</v>
      </c>
      <c r="R29" s="82">
        <f t="shared" si="10"/>
        <v>8.1818181818181817</v>
      </c>
      <c r="S29" s="82">
        <f t="shared" si="10"/>
        <v>8.1818181818181817</v>
      </c>
      <c r="T29" s="82">
        <f t="shared" si="10"/>
        <v>8.1818181818181817</v>
      </c>
      <c r="U29" s="82">
        <f t="shared" si="10"/>
        <v>8.1818181818181817</v>
      </c>
      <c r="V29" s="82">
        <f t="shared" si="10"/>
        <v>8.1818181818181817</v>
      </c>
      <c r="W29" s="82">
        <f t="shared" si="10"/>
        <v>8.1818181818181817</v>
      </c>
      <c r="X29" s="82">
        <f t="shared" si="10"/>
        <v>8.1818181818181817</v>
      </c>
      <c r="Y29" s="82">
        <f t="shared" si="10"/>
        <v>8.1818181818181817</v>
      </c>
      <c r="Z29" s="82">
        <f t="shared" si="10"/>
        <v>8.1818181818181817</v>
      </c>
      <c r="AA29" s="109"/>
      <c r="AB29" s="105"/>
    </row>
    <row r="30" spans="2:29" x14ac:dyDescent="0.2">
      <c r="C30" s="1" t="s">
        <v>230</v>
      </c>
      <c r="D30" s="35"/>
      <c r="E30" s="35"/>
      <c r="F30" s="80" t="s">
        <v>117</v>
      </c>
      <c r="G30" s="82">
        <f>IF(G29&lt;($E$22-$E$23),G29,0)</f>
        <v>0</v>
      </c>
      <c r="H30" s="82">
        <f t="shared" ref="H30:Z30" si="11">IF(H29&lt;($E$22-$E$23),H29,0)</f>
        <v>0</v>
      </c>
      <c r="I30" s="82">
        <f t="shared" si="11"/>
        <v>0</v>
      </c>
      <c r="J30" s="82">
        <f t="shared" si="11"/>
        <v>0</v>
      </c>
      <c r="K30" s="82">
        <f t="shared" si="11"/>
        <v>0</v>
      </c>
      <c r="L30" s="82">
        <f t="shared" si="11"/>
        <v>0</v>
      </c>
      <c r="M30" s="82">
        <f t="shared" si="11"/>
        <v>0</v>
      </c>
      <c r="N30" s="82">
        <f t="shared" si="11"/>
        <v>0</v>
      </c>
      <c r="O30" s="82">
        <f t="shared" si="11"/>
        <v>0</v>
      </c>
      <c r="P30" s="82">
        <f t="shared" si="11"/>
        <v>0</v>
      </c>
      <c r="Q30" s="82">
        <f t="shared" si="11"/>
        <v>0</v>
      </c>
      <c r="R30" s="82">
        <f t="shared" si="11"/>
        <v>0</v>
      </c>
      <c r="S30" s="82">
        <f t="shared" si="11"/>
        <v>0</v>
      </c>
      <c r="T30" s="82">
        <f t="shared" si="11"/>
        <v>0</v>
      </c>
      <c r="U30" s="82">
        <f t="shared" si="11"/>
        <v>0</v>
      </c>
      <c r="V30" s="82">
        <f t="shared" si="11"/>
        <v>0</v>
      </c>
      <c r="W30" s="82">
        <f t="shared" si="11"/>
        <v>0</v>
      </c>
      <c r="X30" s="82">
        <f t="shared" si="11"/>
        <v>0</v>
      </c>
      <c r="Y30" s="82">
        <f t="shared" si="11"/>
        <v>0</v>
      </c>
      <c r="Z30" s="82">
        <f t="shared" si="11"/>
        <v>0</v>
      </c>
    </row>
    <row r="31" spans="2:29" s="64" customFormat="1" x14ac:dyDescent="0.2">
      <c r="C31" s="1" t="s">
        <v>244</v>
      </c>
      <c r="D31" s="35"/>
      <c r="E31" s="35"/>
      <c r="F31" s="80" t="s">
        <v>117</v>
      </c>
      <c r="G31" s="82">
        <f>IF(G29=($E$22-$E$23),($E$22-$E$23),0)</f>
        <v>8.1818181818181817</v>
      </c>
      <c r="H31" s="82">
        <f t="shared" ref="H31:Z31" si="12">IF(H29=($E$22-$E$23),($E$22-$E$23),0)</f>
        <v>8.1818181818181817</v>
      </c>
      <c r="I31" s="82">
        <f t="shared" si="12"/>
        <v>8.1818181818181817</v>
      </c>
      <c r="J31" s="82">
        <f t="shared" si="12"/>
        <v>8.1818181818181817</v>
      </c>
      <c r="K31" s="82">
        <f t="shared" si="12"/>
        <v>8.1818181818181817</v>
      </c>
      <c r="L31" s="82">
        <f t="shared" si="12"/>
        <v>8.1818181818181817</v>
      </c>
      <c r="M31" s="82">
        <f t="shared" si="12"/>
        <v>8.1818181818181817</v>
      </c>
      <c r="N31" s="82">
        <f t="shared" si="12"/>
        <v>8.1818181818181817</v>
      </c>
      <c r="O31" s="82">
        <f t="shared" si="12"/>
        <v>8.1818181818181817</v>
      </c>
      <c r="P31" s="82">
        <f t="shared" si="12"/>
        <v>8.1818181818181817</v>
      </c>
      <c r="Q31" s="82">
        <f t="shared" si="12"/>
        <v>8.1818181818181817</v>
      </c>
      <c r="R31" s="82">
        <f t="shared" si="12"/>
        <v>8.1818181818181817</v>
      </c>
      <c r="S31" s="82">
        <f t="shared" si="12"/>
        <v>8.1818181818181817</v>
      </c>
      <c r="T31" s="82">
        <f t="shared" si="12"/>
        <v>8.1818181818181817</v>
      </c>
      <c r="U31" s="82">
        <f t="shared" si="12"/>
        <v>8.1818181818181817</v>
      </c>
      <c r="V31" s="82">
        <f t="shared" si="12"/>
        <v>8.1818181818181817</v>
      </c>
      <c r="W31" s="82">
        <f t="shared" si="12"/>
        <v>8.1818181818181817</v>
      </c>
      <c r="X31" s="82">
        <f t="shared" si="12"/>
        <v>8.1818181818181817</v>
      </c>
      <c r="Y31" s="82">
        <f t="shared" si="12"/>
        <v>8.1818181818181817</v>
      </c>
      <c r="Z31" s="82">
        <f t="shared" si="12"/>
        <v>8.1818181818181817</v>
      </c>
      <c r="AA31" s="109"/>
      <c r="AB31" s="107"/>
      <c r="AC31" s="95"/>
    </row>
    <row r="32" spans="2:29" s="64" customFormat="1" hidden="1" x14ac:dyDescent="0.2">
      <c r="C32" s="95" t="s">
        <v>375</v>
      </c>
      <c r="D32" s="35"/>
      <c r="E32" s="35"/>
      <c r="F32" s="80" t="s">
        <v>117</v>
      </c>
      <c r="G32" s="97">
        <f>G31*$E$25/4</f>
        <v>2.556818181818182E-2</v>
      </c>
      <c r="H32" s="97">
        <f t="shared" ref="H32:Z32" si="13">H31*$E$25/4</f>
        <v>2.556818181818182E-2</v>
      </c>
      <c r="I32" s="97">
        <f t="shared" si="13"/>
        <v>2.556818181818182E-2</v>
      </c>
      <c r="J32" s="97">
        <f t="shared" si="13"/>
        <v>2.556818181818182E-2</v>
      </c>
      <c r="K32" s="97">
        <f t="shared" si="13"/>
        <v>2.556818181818182E-2</v>
      </c>
      <c r="L32" s="97">
        <f t="shared" si="13"/>
        <v>2.556818181818182E-2</v>
      </c>
      <c r="M32" s="97">
        <f t="shared" si="13"/>
        <v>2.556818181818182E-2</v>
      </c>
      <c r="N32" s="97">
        <f t="shared" si="13"/>
        <v>2.556818181818182E-2</v>
      </c>
      <c r="O32" s="97">
        <f t="shared" si="13"/>
        <v>2.556818181818182E-2</v>
      </c>
      <c r="P32" s="97">
        <f t="shared" si="13"/>
        <v>2.556818181818182E-2</v>
      </c>
      <c r="Q32" s="97">
        <f t="shared" si="13"/>
        <v>2.556818181818182E-2</v>
      </c>
      <c r="R32" s="97">
        <f t="shared" si="13"/>
        <v>2.556818181818182E-2</v>
      </c>
      <c r="S32" s="97">
        <f t="shared" si="13"/>
        <v>2.556818181818182E-2</v>
      </c>
      <c r="T32" s="97">
        <f t="shared" si="13"/>
        <v>2.556818181818182E-2</v>
      </c>
      <c r="U32" s="97">
        <f t="shared" si="13"/>
        <v>2.556818181818182E-2</v>
      </c>
      <c r="V32" s="97">
        <f t="shared" si="13"/>
        <v>2.556818181818182E-2</v>
      </c>
      <c r="W32" s="97">
        <f t="shared" si="13"/>
        <v>2.556818181818182E-2</v>
      </c>
      <c r="X32" s="97">
        <f t="shared" si="13"/>
        <v>2.556818181818182E-2</v>
      </c>
      <c r="Y32" s="97">
        <f t="shared" si="13"/>
        <v>2.556818181818182E-2</v>
      </c>
      <c r="Z32" s="97">
        <f t="shared" si="13"/>
        <v>2.556818181818182E-2</v>
      </c>
      <c r="AA32" s="109"/>
      <c r="AB32" s="107"/>
      <c r="AC32" s="95"/>
    </row>
    <row r="33" spans="1:29" x14ac:dyDescent="0.2">
      <c r="C33" s="1" t="s">
        <v>154</v>
      </c>
      <c r="D33" s="35"/>
      <c r="E33" s="35"/>
      <c r="F33" s="80" t="s">
        <v>117</v>
      </c>
      <c r="G33" s="82">
        <f>IF(AND(G31&gt;0,SUM(G32)&lt;=($E$22-$E$23)),G31*$E$25/4,0)</f>
        <v>2.556818181818182E-2</v>
      </c>
      <c r="H33" s="82">
        <f>IF(AND(H31&gt;0,SUM($G32:H32)&lt;=($E$22-$E$23)),H31*$E$25/4,0)</f>
        <v>2.556818181818182E-2</v>
      </c>
      <c r="I33" s="82">
        <f>IF(AND(I31&gt;0,SUM($G32:I32)&lt;=($E$22-$E$23)),I31*$E$25/4,0)</f>
        <v>2.556818181818182E-2</v>
      </c>
      <c r="J33" s="82">
        <f>IF(AND(J31&gt;0,SUM($G32:J32)&lt;=($E$22-$E$23)),J31*$E$25/4,0)</f>
        <v>2.556818181818182E-2</v>
      </c>
      <c r="K33" s="82">
        <f>IF(AND(K31&gt;0,SUM($G32:K32)&lt;=($E$22-$E$23)),K31*$E$25/4,0)</f>
        <v>2.556818181818182E-2</v>
      </c>
      <c r="L33" s="82">
        <f>IF(AND(L31&gt;0,SUM($G32:L32)&lt;=($E$22-$E$23)),L31*$E$25/4,0)</f>
        <v>2.556818181818182E-2</v>
      </c>
      <c r="M33" s="82">
        <f>IF(AND(M31&gt;0,SUM($G32:M32)&lt;=($E$22-$E$23)),M31*$E$25/4,0)</f>
        <v>2.556818181818182E-2</v>
      </c>
      <c r="N33" s="82">
        <f>IF(AND(N31&gt;0,SUM($G32:N32)&lt;=($E$22-$E$23)),N31*$E$25/4,0)</f>
        <v>2.556818181818182E-2</v>
      </c>
      <c r="O33" s="82">
        <f>IF(AND(O31&gt;0,SUM($G32:O32)&lt;=($E$22-$E$23)),O31*$E$25/4,0)</f>
        <v>2.556818181818182E-2</v>
      </c>
      <c r="P33" s="82">
        <f>IF(AND(P31&gt;0,SUM($G32:P32)&lt;=($E$22-$E$23)),P31*$E$25/4,0)</f>
        <v>2.556818181818182E-2</v>
      </c>
      <c r="Q33" s="82">
        <f>IF(AND(Q31&gt;0,SUM($G32:Q32)&lt;=($E$22-$E$23)),Q31*$E$25/4,0)</f>
        <v>2.556818181818182E-2</v>
      </c>
      <c r="R33" s="82">
        <f>IF(AND(R31&gt;0,SUM($G32:R32)&lt;=($E$22-$E$23)),R31*$E$25/4,0)</f>
        <v>2.556818181818182E-2</v>
      </c>
      <c r="S33" s="82">
        <f>IF(AND(S31&gt;0,SUM($G32:S32)&lt;=($E$22-$E$23)),S31*$E$25/4,0)</f>
        <v>2.556818181818182E-2</v>
      </c>
      <c r="T33" s="82">
        <f>IF(AND(T31&gt;0,SUM($G32:T32)&lt;=($E$22-$E$23)),T31*$E$25/4,0)</f>
        <v>2.556818181818182E-2</v>
      </c>
      <c r="U33" s="82">
        <f>IF(AND(U31&gt;0,SUM($G32:U32)&lt;=($E$22-$E$23)),U31*$E$25/4,0)</f>
        <v>2.556818181818182E-2</v>
      </c>
      <c r="V33" s="82">
        <f>IF(AND(V31&gt;0,SUM($G32:V32)&lt;=($E$22-$E$23)),V31*$E$25/4,0)</f>
        <v>2.556818181818182E-2</v>
      </c>
      <c r="W33" s="82">
        <f>IF(AND(W31&gt;0,SUM($G32:W32)&lt;=($E$22-$E$23)),W31*$E$25/4,0)</f>
        <v>2.556818181818182E-2</v>
      </c>
      <c r="X33" s="82">
        <f>IF(AND(X31&gt;0,SUM($G32:X32)&lt;=($E$22-$E$23)),X31*$E$25/4,0)</f>
        <v>2.556818181818182E-2</v>
      </c>
      <c r="Y33" s="82">
        <f>IF(AND(Y31&gt;0,SUM($G32:Y32)&lt;=($E$22-$E$23)),Y31*$E$25/4,0)</f>
        <v>2.556818181818182E-2</v>
      </c>
      <c r="Z33" s="82">
        <f>IF(AND(Z31&gt;0,SUM($G32:Z32)&lt;=($E$22-$E$23)),Z31*$E$25/4,0)</f>
        <v>2.556818181818182E-2</v>
      </c>
      <c r="AA33" s="109">
        <f>SUM(G33:Z33)</f>
        <v>0.51136363636363635</v>
      </c>
    </row>
    <row r="34" spans="1:29" x14ac:dyDescent="0.2">
      <c r="C34" s="1" t="s">
        <v>156</v>
      </c>
      <c r="D34" s="35"/>
      <c r="E34" s="35"/>
      <c r="F34" s="80" t="s">
        <v>117</v>
      </c>
      <c r="G34" s="82">
        <f>G33</f>
        <v>2.556818181818182E-2</v>
      </c>
      <c r="H34" s="82">
        <f>H33+G34</f>
        <v>5.113636363636364E-2</v>
      </c>
      <c r="I34" s="82">
        <f t="shared" ref="I34:Z34" si="14">I33+H34</f>
        <v>7.6704545454545456E-2</v>
      </c>
      <c r="J34" s="82">
        <f t="shared" si="14"/>
        <v>0.10227272727272728</v>
      </c>
      <c r="K34" s="82">
        <f t="shared" si="14"/>
        <v>0.12784090909090909</v>
      </c>
      <c r="L34" s="82">
        <f t="shared" si="14"/>
        <v>0.15340909090909091</v>
      </c>
      <c r="M34" s="82">
        <f t="shared" si="14"/>
        <v>0.17897727272727273</v>
      </c>
      <c r="N34" s="82">
        <f t="shared" si="14"/>
        <v>0.20454545454545456</v>
      </c>
      <c r="O34" s="82">
        <f t="shared" si="14"/>
        <v>0.23011363636363638</v>
      </c>
      <c r="P34" s="82">
        <f t="shared" si="14"/>
        <v>0.25568181818181818</v>
      </c>
      <c r="Q34" s="82">
        <f t="shared" si="14"/>
        <v>0.28125</v>
      </c>
      <c r="R34" s="82">
        <f t="shared" si="14"/>
        <v>0.30681818181818182</v>
      </c>
      <c r="S34" s="82">
        <f t="shared" si="14"/>
        <v>0.33238636363636365</v>
      </c>
      <c r="T34" s="82">
        <f t="shared" si="14"/>
        <v>0.35795454545454547</v>
      </c>
      <c r="U34" s="82">
        <f t="shared" si="14"/>
        <v>0.38352272727272729</v>
      </c>
      <c r="V34" s="82">
        <f t="shared" si="14"/>
        <v>0.40909090909090912</v>
      </c>
      <c r="W34" s="82">
        <f t="shared" si="14"/>
        <v>0.43465909090909094</v>
      </c>
      <c r="X34" s="82">
        <f t="shared" si="14"/>
        <v>0.46022727272727276</v>
      </c>
      <c r="Y34" s="82">
        <f t="shared" si="14"/>
        <v>0.48579545454545459</v>
      </c>
      <c r="Z34" s="82">
        <f t="shared" si="14"/>
        <v>0.51136363636363635</v>
      </c>
      <c r="AA34" s="109"/>
    </row>
    <row r="35" spans="1:29" x14ac:dyDescent="0.2">
      <c r="C35" s="64" t="s">
        <v>245</v>
      </c>
      <c r="D35" s="35"/>
      <c r="E35" s="35"/>
      <c r="F35" s="80" t="s">
        <v>117</v>
      </c>
      <c r="G35" s="98">
        <f>G31-G34</f>
        <v>8.15625</v>
      </c>
      <c r="H35" s="98">
        <f t="shared" ref="H35:Z35" si="15">H31-H34</f>
        <v>8.1306818181818183</v>
      </c>
      <c r="I35" s="98">
        <f t="shared" si="15"/>
        <v>8.1051136363636367</v>
      </c>
      <c r="J35" s="98">
        <f t="shared" si="15"/>
        <v>8.079545454545455</v>
      </c>
      <c r="K35" s="98">
        <f t="shared" si="15"/>
        <v>8.0539772727272734</v>
      </c>
      <c r="L35" s="98">
        <f t="shared" si="15"/>
        <v>8.0284090909090899</v>
      </c>
      <c r="M35" s="98">
        <f t="shared" si="15"/>
        <v>8.0028409090909083</v>
      </c>
      <c r="N35" s="98">
        <f t="shared" si="15"/>
        <v>7.9772727272727275</v>
      </c>
      <c r="O35" s="98">
        <f t="shared" si="15"/>
        <v>7.951704545454545</v>
      </c>
      <c r="P35" s="98">
        <f t="shared" si="15"/>
        <v>7.9261363636363633</v>
      </c>
      <c r="Q35" s="98">
        <f t="shared" si="15"/>
        <v>7.9005681818181817</v>
      </c>
      <c r="R35" s="98">
        <f t="shared" si="15"/>
        <v>7.875</v>
      </c>
      <c r="S35" s="98">
        <f t="shared" si="15"/>
        <v>7.8494318181818183</v>
      </c>
      <c r="T35" s="98">
        <f t="shared" si="15"/>
        <v>7.8238636363636358</v>
      </c>
      <c r="U35" s="98">
        <f t="shared" si="15"/>
        <v>7.7982954545454541</v>
      </c>
      <c r="V35" s="98">
        <f t="shared" si="15"/>
        <v>7.7727272727272725</v>
      </c>
      <c r="W35" s="98">
        <f t="shared" si="15"/>
        <v>7.7471590909090908</v>
      </c>
      <c r="X35" s="98">
        <f t="shared" si="15"/>
        <v>7.7215909090909092</v>
      </c>
      <c r="Y35" s="98">
        <f t="shared" si="15"/>
        <v>7.6960227272727266</v>
      </c>
      <c r="Z35" s="98">
        <f t="shared" si="15"/>
        <v>7.670454545454545</v>
      </c>
    </row>
    <row r="36" spans="1:29" x14ac:dyDescent="0.2">
      <c r="F36" s="80"/>
    </row>
    <row r="37" spans="1:29" x14ac:dyDescent="0.2">
      <c r="B37" s="27" t="s">
        <v>107</v>
      </c>
      <c r="C37" s="35"/>
      <c r="D37" s="35"/>
      <c r="E37" s="35"/>
      <c r="F37" s="80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9" x14ac:dyDescent="0.2">
      <c r="C38" s="27" t="s">
        <v>432</v>
      </c>
      <c r="F38" s="80" t="s">
        <v>117</v>
      </c>
      <c r="G38" s="15">
        <f>G11+G27</f>
        <v>19</v>
      </c>
      <c r="H38" s="15">
        <f t="shared" ref="H38:Z38" si="16">H11+H27</f>
        <v>0</v>
      </c>
      <c r="I38" s="15">
        <f t="shared" si="16"/>
        <v>0</v>
      </c>
      <c r="J38" s="15">
        <f t="shared" si="16"/>
        <v>0</v>
      </c>
      <c r="K38" s="15">
        <f t="shared" si="16"/>
        <v>0</v>
      </c>
      <c r="L38" s="15">
        <f t="shared" si="16"/>
        <v>0</v>
      </c>
      <c r="M38" s="15">
        <f t="shared" si="16"/>
        <v>0</v>
      </c>
      <c r="N38" s="15">
        <f t="shared" si="16"/>
        <v>0</v>
      </c>
      <c r="O38" s="15">
        <f t="shared" si="16"/>
        <v>0</v>
      </c>
      <c r="P38" s="15">
        <f t="shared" si="16"/>
        <v>0</v>
      </c>
      <c r="Q38" s="15">
        <f t="shared" si="16"/>
        <v>0</v>
      </c>
      <c r="R38" s="15">
        <f t="shared" si="16"/>
        <v>0</v>
      </c>
      <c r="S38" s="15">
        <f t="shared" si="16"/>
        <v>0</v>
      </c>
      <c r="T38" s="15">
        <f t="shared" si="16"/>
        <v>0</v>
      </c>
      <c r="U38" s="15">
        <f t="shared" si="16"/>
        <v>0</v>
      </c>
      <c r="V38" s="15">
        <f t="shared" si="16"/>
        <v>0</v>
      </c>
      <c r="W38" s="15">
        <f t="shared" si="16"/>
        <v>0</v>
      </c>
      <c r="X38" s="15">
        <f t="shared" si="16"/>
        <v>0</v>
      </c>
      <c r="Y38" s="15">
        <f t="shared" si="16"/>
        <v>0</v>
      </c>
      <c r="Z38" s="15">
        <f t="shared" si="16"/>
        <v>0</v>
      </c>
    </row>
    <row r="39" spans="1:29" x14ac:dyDescent="0.2">
      <c r="C39" s="1" t="s">
        <v>139</v>
      </c>
      <c r="F39" s="80" t="s">
        <v>117</v>
      </c>
      <c r="G39" s="15">
        <f>G12+G28</f>
        <v>1.7272727272727284</v>
      </c>
      <c r="H39" s="15">
        <f t="shared" ref="H39:Z39" si="17">H12+H28</f>
        <v>0</v>
      </c>
      <c r="I39" s="15">
        <f t="shared" si="17"/>
        <v>0</v>
      </c>
      <c r="J39" s="15">
        <f t="shared" si="17"/>
        <v>0</v>
      </c>
      <c r="K39" s="15">
        <f t="shared" si="17"/>
        <v>0</v>
      </c>
      <c r="L39" s="15">
        <f t="shared" si="17"/>
        <v>0</v>
      </c>
      <c r="M39" s="15">
        <f t="shared" si="17"/>
        <v>0</v>
      </c>
      <c r="N39" s="15">
        <f t="shared" si="17"/>
        <v>0</v>
      </c>
      <c r="O39" s="15">
        <f t="shared" si="17"/>
        <v>0</v>
      </c>
      <c r="P39" s="15">
        <f t="shared" si="17"/>
        <v>0</v>
      </c>
      <c r="Q39" s="15">
        <f t="shared" si="17"/>
        <v>0</v>
      </c>
      <c r="R39" s="15">
        <f t="shared" si="17"/>
        <v>0</v>
      </c>
      <c r="S39" s="15">
        <f t="shared" si="17"/>
        <v>0</v>
      </c>
      <c r="T39" s="15">
        <f t="shared" si="17"/>
        <v>0</v>
      </c>
      <c r="U39" s="15">
        <f t="shared" si="17"/>
        <v>0</v>
      </c>
      <c r="V39" s="15">
        <f t="shared" si="17"/>
        <v>0</v>
      </c>
      <c r="W39" s="15">
        <f t="shared" si="17"/>
        <v>0</v>
      </c>
      <c r="X39" s="15">
        <f t="shared" si="17"/>
        <v>0</v>
      </c>
      <c r="Y39" s="15">
        <f t="shared" si="17"/>
        <v>0</v>
      </c>
      <c r="Z39" s="15">
        <f t="shared" si="17"/>
        <v>0</v>
      </c>
    </row>
    <row r="40" spans="1:29" x14ac:dyDescent="0.2">
      <c r="C40" s="1" t="s">
        <v>230</v>
      </c>
      <c r="F40" s="80" t="s">
        <v>117</v>
      </c>
      <c r="G40" s="15">
        <f>G14+G30</f>
        <v>0</v>
      </c>
      <c r="H40" s="15">
        <f t="shared" ref="H40:Z40" si="18">H14+H30</f>
        <v>0</v>
      </c>
      <c r="I40" s="15">
        <f t="shared" si="18"/>
        <v>0</v>
      </c>
      <c r="J40" s="15">
        <f t="shared" si="18"/>
        <v>0</v>
      </c>
      <c r="K40" s="15">
        <f t="shared" si="18"/>
        <v>0</v>
      </c>
      <c r="L40" s="15">
        <f t="shared" si="18"/>
        <v>0</v>
      </c>
      <c r="M40" s="15">
        <f t="shared" si="18"/>
        <v>0</v>
      </c>
      <c r="N40" s="15">
        <f t="shared" si="18"/>
        <v>0</v>
      </c>
      <c r="O40" s="15">
        <f t="shared" si="18"/>
        <v>0</v>
      </c>
      <c r="P40" s="15">
        <f t="shared" si="18"/>
        <v>0</v>
      </c>
      <c r="Q40" s="15">
        <f t="shared" si="18"/>
        <v>0</v>
      </c>
      <c r="R40" s="15">
        <f t="shared" si="18"/>
        <v>0</v>
      </c>
      <c r="S40" s="15">
        <f t="shared" si="18"/>
        <v>0</v>
      </c>
      <c r="T40" s="15">
        <f t="shared" si="18"/>
        <v>0</v>
      </c>
      <c r="U40" s="15">
        <f t="shared" si="18"/>
        <v>0</v>
      </c>
      <c r="V40" s="15">
        <f t="shared" si="18"/>
        <v>0</v>
      </c>
      <c r="W40" s="15">
        <f t="shared" si="18"/>
        <v>0</v>
      </c>
      <c r="X40" s="15">
        <f t="shared" si="18"/>
        <v>0</v>
      </c>
      <c r="Y40" s="15">
        <f t="shared" si="18"/>
        <v>0</v>
      </c>
      <c r="Z40" s="15">
        <f t="shared" si="18"/>
        <v>0</v>
      </c>
    </row>
    <row r="41" spans="1:29" x14ac:dyDescent="0.2">
      <c r="C41" s="27" t="s">
        <v>244</v>
      </c>
      <c r="F41" s="80" t="s">
        <v>117</v>
      </c>
      <c r="G41" s="15">
        <f>G15+G31</f>
        <v>17.272727272727273</v>
      </c>
      <c r="H41" s="15">
        <f t="shared" ref="H41:Z41" si="19">H15+H31</f>
        <v>17.272727272727273</v>
      </c>
      <c r="I41" s="15">
        <f t="shared" si="19"/>
        <v>17.272727272727273</v>
      </c>
      <c r="J41" s="15">
        <f t="shared" si="19"/>
        <v>17.272727272727273</v>
      </c>
      <c r="K41" s="15">
        <f t="shared" si="19"/>
        <v>17.272727272727273</v>
      </c>
      <c r="L41" s="15">
        <f t="shared" si="19"/>
        <v>17.272727272727273</v>
      </c>
      <c r="M41" s="15">
        <f t="shared" si="19"/>
        <v>17.272727272727273</v>
      </c>
      <c r="N41" s="15">
        <f t="shared" si="19"/>
        <v>17.272727272727273</v>
      </c>
      <c r="O41" s="15">
        <f t="shared" si="19"/>
        <v>17.272727272727273</v>
      </c>
      <c r="P41" s="15">
        <f t="shared" si="19"/>
        <v>17.272727272727273</v>
      </c>
      <c r="Q41" s="15">
        <f t="shared" si="19"/>
        <v>17.272727272727273</v>
      </c>
      <c r="R41" s="15">
        <f t="shared" si="19"/>
        <v>17.272727272727273</v>
      </c>
      <c r="S41" s="15">
        <f t="shared" si="19"/>
        <v>17.272727272727273</v>
      </c>
      <c r="T41" s="15">
        <f t="shared" si="19"/>
        <v>17.272727272727273</v>
      </c>
      <c r="U41" s="15">
        <f t="shared" si="19"/>
        <v>17.272727272727273</v>
      </c>
      <c r="V41" s="15">
        <f t="shared" si="19"/>
        <v>17.272727272727273</v>
      </c>
      <c r="W41" s="15">
        <f t="shared" si="19"/>
        <v>17.272727272727273</v>
      </c>
      <c r="X41" s="15">
        <f t="shared" si="19"/>
        <v>17.272727272727273</v>
      </c>
      <c r="Y41" s="15">
        <f t="shared" si="19"/>
        <v>17.272727272727273</v>
      </c>
      <c r="Z41" s="15">
        <f t="shared" si="19"/>
        <v>17.272727272727273</v>
      </c>
    </row>
    <row r="42" spans="1:29" x14ac:dyDescent="0.2">
      <c r="C42" s="27" t="s">
        <v>154</v>
      </c>
      <c r="F42" s="80" t="s">
        <v>117</v>
      </c>
      <c r="G42" s="15">
        <f>G17+G33</f>
        <v>5.3977272727272728E-2</v>
      </c>
      <c r="H42" s="15">
        <f t="shared" ref="H42:Z42" si="20">H17+H33</f>
        <v>5.3977272727272728E-2</v>
      </c>
      <c r="I42" s="15">
        <f t="shared" si="20"/>
        <v>5.3977272727272728E-2</v>
      </c>
      <c r="J42" s="15">
        <f t="shared" si="20"/>
        <v>5.3977272727272728E-2</v>
      </c>
      <c r="K42" s="15">
        <f t="shared" si="20"/>
        <v>5.3977272727272728E-2</v>
      </c>
      <c r="L42" s="15">
        <f t="shared" si="20"/>
        <v>5.3977272727272728E-2</v>
      </c>
      <c r="M42" s="15">
        <f t="shared" si="20"/>
        <v>5.3977272727272728E-2</v>
      </c>
      <c r="N42" s="15">
        <f t="shared" si="20"/>
        <v>5.3977272727272728E-2</v>
      </c>
      <c r="O42" s="15">
        <f t="shared" si="20"/>
        <v>5.3977272727272728E-2</v>
      </c>
      <c r="P42" s="15">
        <f t="shared" si="20"/>
        <v>5.3977272727272728E-2</v>
      </c>
      <c r="Q42" s="15">
        <f t="shared" si="20"/>
        <v>5.3977272727272728E-2</v>
      </c>
      <c r="R42" s="15">
        <f t="shared" si="20"/>
        <v>5.3977272727272728E-2</v>
      </c>
      <c r="S42" s="15">
        <f t="shared" si="20"/>
        <v>5.3977272727272728E-2</v>
      </c>
      <c r="T42" s="15">
        <f t="shared" si="20"/>
        <v>5.3977272727272728E-2</v>
      </c>
      <c r="U42" s="15">
        <f t="shared" si="20"/>
        <v>5.3977272727272728E-2</v>
      </c>
      <c r="V42" s="15">
        <f t="shared" si="20"/>
        <v>5.3977272727272728E-2</v>
      </c>
      <c r="W42" s="15">
        <f t="shared" si="20"/>
        <v>5.3977272727272728E-2</v>
      </c>
      <c r="X42" s="15">
        <f t="shared" si="20"/>
        <v>5.3977272727272728E-2</v>
      </c>
      <c r="Y42" s="15">
        <f t="shared" si="20"/>
        <v>5.3977272727272728E-2</v>
      </c>
      <c r="Z42" s="15">
        <f t="shared" si="20"/>
        <v>5.3977272727272728E-2</v>
      </c>
    </row>
    <row r="43" spans="1:29" x14ac:dyDescent="0.2">
      <c r="C43" s="27" t="s">
        <v>156</v>
      </c>
      <c r="F43" s="80" t="s">
        <v>117</v>
      </c>
      <c r="G43" s="15">
        <f>G18+G34</f>
        <v>5.3977272727272728E-2</v>
      </c>
      <c r="H43" s="15">
        <f t="shared" ref="H43:Z43" si="21">H18+H34</f>
        <v>0.10795454545454546</v>
      </c>
      <c r="I43" s="15">
        <f t="shared" si="21"/>
        <v>0.16193181818181818</v>
      </c>
      <c r="J43" s="15">
        <f t="shared" si="21"/>
        <v>0.21590909090909091</v>
      </c>
      <c r="K43" s="15">
        <f t="shared" si="21"/>
        <v>0.26988636363636365</v>
      </c>
      <c r="L43" s="15">
        <f t="shared" si="21"/>
        <v>0.32386363636363635</v>
      </c>
      <c r="M43" s="15">
        <f t="shared" si="21"/>
        <v>0.37784090909090906</v>
      </c>
      <c r="N43" s="15">
        <f t="shared" si="21"/>
        <v>0.43181818181818182</v>
      </c>
      <c r="O43" s="15">
        <f t="shared" si="21"/>
        <v>0.48579545454545459</v>
      </c>
      <c r="P43" s="15">
        <f t="shared" si="21"/>
        <v>0.53977272727272729</v>
      </c>
      <c r="Q43" s="15">
        <f t="shared" si="21"/>
        <v>0.59375</v>
      </c>
      <c r="R43" s="15">
        <f t="shared" si="21"/>
        <v>0.64772727272727271</v>
      </c>
      <c r="S43" s="15">
        <f t="shared" si="21"/>
        <v>0.70170454545454541</v>
      </c>
      <c r="T43" s="15">
        <f t="shared" si="21"/>
        <v>0.75568181818181812</v>
      </c>
      <c r="U43" s="15">
        <f t="shared" si="21"/>
        <v>0.80965909090909083</v>
      </c>
      <c r="V43" s="15">
        <f t="shared" si="21"/>
        <v>0.86363636363636354</v>
      </c>
      <c r="W43" s="15">
        <f t="shared" si="21"/>
        <v>0.91761363636363624</v>
      </c>
      <c r="X43" s="15">
        <f t="shared" si="21"/>
        <v>0.97159090909090895</v>
      </c>
      <c r="Y43" s="15">
        <f t="shared" si="21"/>
        <v>1.0255681818181817</v>
      </c>
      <c r="Z43" s="15">
        <f t="shared" si="21"/>
        <v>1.0795454545454544</v>
      </c>
    </row>
    <row r="44" spans="1:29" x14ac:dyDescent="0.2">
      <c r="C44" s="27" t="s">
        <v>155</v>
      </c>
      <c r="F44" s="80" t="s">
        <v>117</v>
      </c>
      <c r="G44" s="15">
        <f>G41-G43</f>
        <v>17.21875</v>
      </c>
      <c r="H44" s="15">
        <f>H41-H43</f>
        <v>17.164772727272727</v>
      </c>
      <c r="I44" s="15">
        <f t="shared" ref="I44:Z44" si="22">I41-I43</f>
        <v>17.110795454545457</v>
      </c>
      <c r="J44" s="15">
        <f t="shared" si="22"/>
        <v>17.056818181818183</v>
      </c>
      <c r="K44" s="15">
        <f t="shared" si="22"/>
        <v>17.00284090909091</v>
      </c>
      <c r="L44" s="15">
        <f t="shared" si="22"/>
        <v>16.948863636363637</v>
      </c>
      <c r="M44" s="15">
        <f t="shared" si="22"/>
        <v>16.894886363636363</v>
      </c>
      <c r="N44" s="15">
        <f t="shared" si="22"/>
        <v>16.84090909090909</v>
      </c>
      <c r="O44" s="15">
        <f t="shared" si="22"/>
        <v>16.78693181818182</v>
      </c>
      <c r="P44" s="15">
        <f t="shared" si="22"/>
        <v>16.732954545454547</v>
      </c>
      <c r="Q44" s="15">
        <f t="shared" si="22"/>
        <v>16.678977272727273</v>
      </c>
      <c r="R44" s="15">
        <f t="shared" si="22"/>
        <v>16.625</v>
      </c>
      <c r="S44" s="15">
        <f t="shared" si="22"/>
        <v>16.571022727272727</v>
      </c>
      <c r="T44" s="15">
        <f t="shared" si="22"/>
        <v>16.517045454545457</v>
      </c>
      <c r="U44" s="15">
        <f t="shared" si="22"/>
        <v>16.463068181818183</v>
      </c>
      <c r="V44" s="15">
        <f t="shared" si="22"/>
        <v>16.40909090909091</v>
      </c>
      <c r="W44" s="15">
        <f t="shared" si="22"/>
        <v>16.355113636363637</v>
      </c>
      <c r="X44" s="15">
        <f t="shared" si="22"/>
        <v>16.301136363636363</v>
      </c>
      <c r="Y44" s="15">
        <f t="shared" si="22"/>
        <v>16.247159090909093</v>
      </c>
      <c r="Z44" s="15">
        <f t="shared" si="22"/>
        <v>16.19318181818182</v>
      </c>
    </row>
    <row r="45" spans="1:29" x14ac:dyDescent="0.2">
      <c r="F45" s="80"/>
    </row>
    <row r="46" spans="1:29" x14ac:dyDescent="0.2">
      <c r="A46" s="40" t="s">
        <v>148</v>
      </c>
      <c r="F46" s="80"/>
    </row>
    <row r="47" spans="1:29" s="35" customFormat="1" x14ac:dyDescent="0.2">
      <c r="B47" s="26" t="s">
        <v>50</v>
      </c>
      <c r="F47" s="80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104"/>
      <c r="AB47" s="105"/>
      <c r="AC47" s="110"/>
    </row>
    <row r="48" spans="1:29" s="35" customFormat="1" x14ac:dyDescent="0.2">
      <c r="C48" s="35" t="s">
        <v>150</v>
      </c>
      <c r="E48" s="30">
        <v>1500</v>
      </c>
      <c r="F48" s="80" t="s">
        <v>117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104"/>
      <c r="AB48" s="105"/>
      <c r="AC48" s="110"/>
    </row>
    <row r="49" spans="2:29" s="35" customFormat="1" x14ac:dyDescent="0.2">
      <c r="C49" s="44" t="s">
        <v>139</v>
      </c>
      <c r="E49" s="29">
        <f>E48-E48/(1+Окружение!D13)</f>
        <v>136.36363636363649</v>
      </c>
      <c r="F49" s="80" t="s">
        <v>117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104"/>
      <c r="AB49" s="105"/>
      <c r="AC49" s="110"/>
    </row>
    <row r="50" spans="2:29" s="35" customFormat="1" x14ac:dyDescent="0.2">
      <c r="C50" s="35" t="s">
        <v>151</v>
      </c>
      <c r="F50" s="80"/>
      <c r="G50" s="48">
        <v>0.05</v>
      </c>
      <c r="H50" s="48">
        <v>0.05</v>
      </c>
      <c r="I50" s="48">
        <v>0.05</v>
      </c>
      <c r="J50" s="48">
        <v>0.05</v>
      </c>
      <c r="K50" s="48">
        <v>0.05</v>
      </c>
      <c r="L50" s="48">
        <v>0.05</v>
      </c>
      <c r="M50" s="48">
        <v>0.1</v>
      </c>
      <c r="N50" s="48">
        <v>0.1</v>
      </c>
      <c r="O50" s="48">
        <v>0.1</v>
      </c>
      <c r="P50" s="48">
        <v>0.1</v>
      </c>
      <c r="Q50" s="48">
        <v>0.1</v>
      </c>
      <c r="R50" s="48">
        <v>0.1</v>
      </c>
      <c r="S50" s="48">
        <v>0.1</v>
      </c>
      <c r="T50" s="48">
        <v>0</v>
      </c>
      <c r="U50" s="48">
        <v>0</v>
      </c>
      <c r="V50" s="48">
        <v>0</v>
      </c>
      <c r="W50" s="48">
        <v>0</v>
      </c>
      <c r="X50" s="48">
        <v>0</v>
      </c>
      <c r="Y50" s="48">
        <v>0</v>
      </c>
      <c r="Z50" s="48">
        <v>0</v>
      </c>
      <c r="AA50" s="106">
        <f>SUM(G50:Z50)</f>
        <v>0.99999999999999989</v>
      </c>
      <c r="AB50" s="105" t="b">
        <f>AA50=100%</f>
        <v>1</v>
      </c>
      <c r="AC50" s="110"/>
    </row>
    <row r="51" spans="2:29" s="35" customFormat="1" x14ac:dyDescent="0.2">
      <c r="C51" s="1" t="s">
        <v>152</v>
      </c>
      <c r="E51" s="48">
        <v>0.05</v>
      </c>
      <c r="F51" s="80" t="s">
        <v>123</v>
      </c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104"/>
      <c r="AB51" s="107"/>
      <c r="AC51" s="110"/>
    </row>
    <row r="52" spans="2:29" x14ac:dyDescent="0.2">
      <c r="D52" s="35"/>
      <c r="E52" s="35"/>
      <c r="F52" s="80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2:29" x14ac:dyDescent="0.2">
      <c r="C53" s="1" t="s">
        <v>153</v>
      </c>
      <c r="D53" s="35"/>
      <c r="E53" s="35"/>
      <c r="F53" s="80" t="s">
        <v>117</v>
      </c>
      <c r="G53" s="82">
        <f>$E48*G50</f>
        <v>75</v>
      </c>
      <c r="H53" s="82">
        <f t="shared" ref="H53:Z53" si="23">$E48*H50</f>
        <v>75</v>
      </c>
      <c r="I53" s="82">
        <f t="shared" si="23"/>
        <v>75</v>
      </c>
      <c r="J53" s="82">
        <f t="shared" si="23"/>
        <v>75</v>
      </c>
      <c r="K53" s="82">
        <f t="shared" si="23"/>
        <v>75</v>
      </c>
      <c r="L53" s="82">
        <f t="shared" si="23"/>
        <v>75</v>
      </c>
      <c r="M53" s="82">
        <f t="shared" si="23"/>
        <v>150</v>
      </c>
      <c r="N53" s="82">
        <f t="shared" si="23"/>
        <v>150</v>
      </c>
      <c r="O53" s="82">
        <f t="shared" si="23"/>
        <v>150</v>
      </c>
      <c r="P53" s="82">
        <f t="shared" si="23"/>
        <v>150</v>
      </c>
      <c r="Q53" s="82">
        <f t="shared" si="23"/>
        <v>150</v>
      </c>
      <c r="R53" s="82">
        <f t="shared" si="23"/>
        <v>150</v>
      </c>
      <c r="S53" s="82">
        <f t="shared" si="23"/>
        <v>150</v>
      </c>
      <c r="T53" s="82">
        <f t="shared" si="23"/>
        <v>0</v>
      </c>
      <c r="U53" s="82">
        <f t="shared" si="23"/>
        <v>0</v>
      </c>
      <c r="V53" s="82">
        <f t="shared" si="23"/>
        <v>0</v>
      </c>
      <c r="W53" s="82">
        <f t="shared" si="23"/>
        <v>0</v>
      </c>
      <c r="X53" s="82">
        <f t="shared" si="23"/>
        <v>0</v>
      </c>
      <c r="Y53" s="82">
        <f t="shared" si="23"/>
        <v>0</v>
      </c>
      <c r="Z53" s="82">
        <f t="shared" si="23"/>
        <v>0</v>
      </c>
      <c r="AA53" s="102">
        <f>SUM(G53:Z53)</f>
        <v>1500</v>
      </c>
      <c r="AB53" s="105" t="b">
        <f>AA53=E48</f>
        <v>1</v>
      </c>
    </row>
    <row r="54" spans="2:29" x14ac:dyDescent="0.2">
      <c r="C54" s="44" t="s">
        <v>139</v>
      </c>
      <c r="D54" s="35"/>
      <c r="E54" s="35"/>
      <c r="F54" s="80" t="s">
        <v>117</v>
      </c>
      <c r="G54" s="82">
        <f>$E49*G50</f>
        <v>6.8181818181818246</v>
      </c>
      <c r="H54" s="82">
        <f t="shared" ref="H54:Z54" si="24">$E49*H50</f>
        <v>6.8181818181818246</v>
      </c>
      <c r="I54" s="82">
        <f t="shared" si="24"/>
        <v>6.8181818181818246</v>
      </c>
      <c r="J54" s="82">
        <f t="shared" si="24"/>
        <v>6.8181818181818246</v>
      </c>
      <c r="K54" s="82">
        <f t="shared" si="24"/>
        <v>6.8181818181818246</v>
      </c>
      <c r="L54" s="82">
        <f t="shared" si="24"/>
        <v>6.8181818181818246</v>
      </c>
      <c r="M54" s="82">
        <f t="shared" si="24"/>
        <v>13.636363636363649</v>
      </c>
      <c r="N54" s="82">
        <f t="shared" si="24"/>
        <v>13.636363636363649</v>
      </c>
      <c r="O54" s="82">
        <f t="shared" si="24"/>
        <v>13.636363636363649</v>
      </c>
      <c r="P54" s="82">
        <f t="shared" si="24"/>
        <v>13.636363636363649</v>
      </c>
      <c r="Q54" s="82">
        <f t="shared" si="24"/>
        <v>13.636363636363649</v>
      </c>
      <c r="R54" s="82">
        <f t="shared" si="24"/>
        <v>13.636363636363649</v>
      </c>
      <c r="S54" s="82">
        <f t="shared" si="24"/>
        <v>13.636363636363649</v>
      </c>
      <c r="T54" s="82">
        <f t="shared" si="24"/>
        <v>0</v>
      </c>
      <c r="U54" s="82">
        <f t="shared" si="24"/>
        <v>0</v>
      </c>
      <c r="V54" s="82">
        <f t="shared" si="24"/>
        <v>0</v>
      </c>
      <c r="W54" s="82">
        <f t="shared" si="24"/>
        <v>0</v>
      </c>
      <c r="X54" s="82">
        <f t="shared" si="24"/>
        <v>0</v>
      </c>
      <c r="Y54" s="82">
        <f t="shared" si="24"/>
        <v>0</v>
      </c>
      <c r="Z54" s="82">
        <f t="shared" si="24"/>
        <v>0</v>
      </c>
      <c r="AA54" s="109">
        <f>SUM(G54:Z54)</f>
        <v>136.36363636363652</v>
      </c>
      <c r="AB54" s="105" t="b">
        <f>AA54=E49</f>
        <v>0</v>
      </c>
    </row>
    <row r="55" spans="2:29" x14ac:dyDescent="0.2">
      <c r="C55" s="35" t="s">
        <v>246</v>
      </c>
      <c r="D55" s="35"/>
      <c r="E55" s="35"/>
      <c r="F55" s="80" t="s">
        <v>117</v>
      </c>
      <c r="G55" s="82">
        <f>G53-G54</f>
        <v>68.181818181818173</v>
      </c>
      <c r="H55" s="82">
        <f>G55+H53-H54</f>
        <v>136.36363636363637</v>
      </c>
      <c r="I55" s="82">
        <f t="shared" ref="I55:Z55" si="25">H55+I53-I54</f>
        <v>204.54545454545456</v>
      </c>
      <c r="J55" s="82">
        <f t="shared" si="25"/>
        <v>272.72727272727275</v>
      </c>
      <c r="K55" s="82">
        <f t="shared" si="25"/>
        <v>340.90909090909093</v>
      </c>
      <c r="L55" s="82">
        <f t="shared" si="25"/>
        <v>409.09090909090912</v>
      </c>
      <c r="M55" s="82">
        <f t="shared" si="25"/>
        <v>545.4545454545455</v>
      </c>
      <c r="N55" s="82">
        <f t="shared" si="25"/>
        <v>681.81818181818187</v>
      </c>
      <c r="O55" s="82">
        <f t="shared" si="25"/>
        <v>818.18181818181824</v>
      </c>
      <c r="P55" s="82">
        <f t="shared" si="25"/>
        <v>954.54545454545462</v>
      </c>
      <c r="Q55" s="82">
        <f t="shared" si="25"/>
        <v>1090.9090909090908</v>
      </c>
      <c r="R55" s="82">
        <f t="shared" si="25"/>
        <v>1227.272727272727</v>
      </c>
      <c r="S55" s="82">
        <f t="shared" si="25"/>
        <v>1363.6363636363633</v>
      </c>
      <c r="T55" s="82">
        <f t="shared" si="25"/>
        <v>1363.6363636363633</v>
      </c>
      <c r="U55" s="82">
        <f t="shared" si="25"/>
        <v>1363.6363636363633</v>
      </c>
      <c r="V55" s="82">
        <f t="shared" si="25"/>
        <v>1363.6363636363633</v>
      </c>
      <c r="W55" s="82">
        <f t="shared" si="25"/>
        <v>1363.6363636363633</v>
      </c>
      <c r="X55" s="82">
        <f t="shared" si="25"/>
        <v>1363.6363636363633</v>
      </c>
      <c r="Y55" s="82">
        <f t="shared" si="25"/>
        <v>1363.6363636363633</v>
      </c>
      <c r="Z55" s="82">
        <f t="shared" si="25"/>
        <v>1363.6363636363633</v>
      </c>
      <c r="AA55" s="109"/>
      <c r="AB55" s="105"/>
    </row>
    <row r="56" spans="2:29" x14ac:dyDescent="0.2">
      <c r="C56" s="1" t="s">
        <v>230</v>
      </c>
      <c r="D56" s="35"/>
      <c r="E56" s="35"/>
      <c r="F56" s="80" t="s">
        <v>117</v>
      </c>
      <c r="G56" s="82">
        <f>IF(G55&lt;($E$48-$E$49),G55,0)</f>
        <v>68.181818181818173</v>
      </c>
      <c r="H56" s="82">
        <f t="shared" ref="H56:Z56" si="26">IF(H55&lt;($E$48-$E$49),H55,0)</f>
        <v>136.36363636363637</v>
      </c>
      <c r="I56" s="82">
        <f t="shared" si="26"/>
        <v>204.54545454545456</v>
      </c>
      <c r="J56" s="82">
        <f t="shared" si="26"/>
        <v>272.72727272727275</v>
      </c>
      <c r="K56" s="82">
        <f t="shared" si="26"/>
        <v>340.90909090909093</v>
      </c>
      <c r="L56" s="82">
        <f t="shared" si="26"/>
        <v>409.09090909090912</v>
      </c>
      <c r="M56" s="82">
        <f t="shared" si="26"/>
        <v>545.4545454545455</v>
      </c>
      <c r="N56" s="82">
        <f t="shared" si="26"/>
        <v>681.81818181818187</v>
      </c>
      <c r="O56" s="82">
        <f t="shared" si="26"/>
        <v>818.18181818181824</v>
      </c>
      <c r="P56" s="82">
        <f t="shared" si="26"/>
        <v>954.54545454545462</v>
      </c>
      <c r="Q56" s="82">
        <f t="shared" si="26"/>
        <v>1090.9090909090908</v>
      </c>
      <c r="R56" s="82">
        <f t="shared" si="26"/>
        <v>1227.272727272727</v>
      </c>
      <c r="S56" s="82">
        <f t="shared" si="26"/>
        <v>0</v>
      </c>
      <c r="T56" s="82">
        <f t="shared" si="26"/>
        <v>0</v>
      </c>
      <c r="U56" s="82">
        <f t="shared" si="26"/>
        <v>0</v>
      </c>
      <c r="V56" s="82">
        <f t="shared" si="26"/>
        <v>0</v>
      </c>
      <c r="W56" s="82">
        <f t="shared" si="26"/>
        <v>0</v>
      </c>
      <c r="X56" s="82">
        <f t="shared" si="26"/>
        <v>0</v>
      </c>
      <c r="Y56" s="82">
        <f t="shared" si="26"/>
        <v>0</v>
      </c>
      <c r="Z56" s="82">
        <f t="shared" si="26"/>
        <v>0</v>
      </c>
    </row>
    <row r="57" spans="2:29" x14ac:dyDescent="0.2">
      <c r="B57" s="64"/>
      <c r="C57" s="1" t="s">
        <v>244</v>
      </c>
      <c r="D57" s="35"/>
      <c r="E57" s="35"/>
      <c r="F57" s="80" t="s">
        <v>117</v>
      </c>
      <c r="G57" s="82">
        <f>IF(G55=($E$48-$E$49),($E$48-$E$49),0)</f>
        <v>0</v>
      </c>
      <c r="H57" s="82">
        <f t="shared" ref="H57:Z57" si="27">IF(H55=($E$48-$E$49),($E$48-$E$49),0)</f>
        <v>0</v>
      </c>
      <c r="I57" s="82">
        <f t="shared" si="27"/>
        <v>0</v>
      </c>
      <c r="J57" s="82">
        <f t="shared" si="27"/>
        <v>0</v>
      </c>
      <c r="K57" s="82">
        <f t="shared" si="27"/>
        <v>0</v>
      </c>
      <c r="L57" s="82">
        <f t="shared" si="27"/>
        <v>0</v>
      </c>
      <c r="M57" s="82">
        <f t="shared" si="27"/>
        <v>0</v>
      </c>
      <c r="N57" s="82">
        <f t="shared" si="27"/>
        <v>0</v>
      </c>
      <c r="O57" s="82">
        <f t="shared" si="27"/>
        <v>0</v>
      </c>
      <c r="P57" s="82">
        <f t="shared" si="27"/>
        <v>0</v>
      </c>
      <c r="Q57" s="82">
        <f t="shared" si="27"/>
        <v>0</v>
      </c>
      <c r="R57" s="82">
        <f t="shared" si="27"/>
        <v>0</v>
      </c>
      <c r="S57" s="82">
        <f t="shared" si="27"/>
        <v>1363.6363636363635</v>
      </c>
      <c r="T57" s="82">
        <f t="shared" si="27"/>
        <v>1363.6363636363635</v>
      </c>
      <c r="U57" s="82">
        <f t="shared" si="27"/>
        <v>1363.6363636363635</v>
      </c>
      <c r="V57" s="82">
        <f t="shared" si="27"/>
        <v>1363.6363636363635</v>
      </c>
      <c r="W57" s="82">
        <f t="shared" si="27"/>
        <v>1363.6363636363635</v>
      </c>
      <c r="X57" s="82">
        <f t="shared" si="27"/>
        <v>1363.6363636363635</v>
      </c>
      <c r="Y57" s="82">
        <f t="shared" si="27"/>
        <v>1363.6363636363635</v>
      </c>
      <c r="Z57" s="82">
        <f t="shared" si="27"/>
        <v>1363.6363636363635</v>
      </c>
      <c r="AA57" s="109"/>
    </row>
    <row r="58" spans="2:29" s="64" customFormat="1" hidden="1" x14ac:dyDescent="0.2">
      <c r="C58" s="95" t="s">
        <v>375</v>
      </c>
      <c r="D58" s="35"/>
      <c r="E58" s="35"/>
      <c r="F58" s="80" t="s">
        <v>117</v>
      </c>
      <c r="G58" s="97">
        <f>G57*$E$51/4</f>
        <v>0</v>
      </c>
      <c r="H58" s="97">
        <f t="shared" ref="H58:Z58" si="28">H57*$E$51/4</f>
        <v>0</v>
      </c>
      <c r="I58" s="97">
        <f t="shared" si="28"/>
        <v>0</v>
      </c>
      <c r="J58" s="97">
        <f t="shared" si="28"/>
        <v>0</v>
      </c>
      <c r="K58" s="97">
        <f t="shared" si="28"/>
        <v>0</v>
      </c>
      <c r="L58" s="97">
        <f t="shared" si="28"/>
        <v>0</v>
      </c>
      <c r="M58" s="97">
        <f t="shared" si="28"/>
        <v>0</v>
      </c>
      <c r="N58" s="97">
        <f t="shared" si="28"/>
        <v>0</v>
      </c>
      <c r="O58" s="97">
        <f t="shared" si="28"/>
        <v>0</v>
      </c>
      <c r="P58" s="97">
        <f t="shared" si="28"/>
        <v>0</v>
      </c>
      <c r="Q58" s="97">
        <f t="shared" si="28"/>
        <v>0</v>
      </c>
      <c r="R58" s="97">
        <f t="shared" si="28"/>
        <v>0</v>
      </c>
      <c r="S58" s="97">
        <f t="shared" si="28"/>
        <v>17.045454545454543</v>
      </c>
      <c r="T58" s="97">
        <f t="shared" si="28"/>
        <v>17.045454545454543</v>
      </c>
      <c r="U58" s="97">
        <f t="shared" si="28"/>
        <v>17.045454545454543</v>
      </c>
      <c r="V58" s="97">
        <f t="shared" si="28"/>
        <v>17.045454545454543</v>
      </c>
      <c r="W58" s="97">
        <f t="shared" si="28"/>
        <v>17.045454545454543</v>
      </c>
      <c r="X58" s="97">
        <f t="shared" si="28"/>
        <v>17.045454545454543</v>
      </c>
      <c r="Y58" s="97">
        <f t="shared" si="28"/>
        <v>17.045454545454543</v>
      </c>
      <c r="Z58" s="97">
        <f t="shared" si="28"/>
        <v>17.045454545454543</v>
      </c>
      <c r="AA58" s="109"/>
      <c r="AB58" s="107"/>
      <c r="AC58" s="95"/>
    </row>
    <row r="59" spans="2:29" x14ac:dyDescent="0.2">
      <c r="C59" s="1" t="s">
        <v>154</v>
      </c>
      <c r="D59" s="35"/>
      <c r="E59" s="35"/>
      <c r="F59" s="80" t="s">
        <v>117</v>
      </c>
      <c r="G59" s="82">
        <f>IF(AND(G57&gt;0,SUM(G58)&lt;=($E$48-$E$49)),G57*$E$51/4,0)</f>
        <v>0</v>
      </c>
      <c r="H59" s="82">
        <f>IF(AND(H57&gt;0,SUM($G58:H58)&lt;=($E$48-$E$49)),H57*$E$51/4,0)</f>
        <v>0</v>
      </c>
      <c r="I59" s="82">
        <f>IF(AND(I57&gt;0,SUM($G58:I58)&lt;=($E$48-$E$49)),I57*$E$51/4,0)</f>
        <v>0</v>
      </c>
      <c r="J59" s="82">
        <f>IF(AND(J57&gt;0,SUM($G58:J58)&lt;=($E$48-$E$49)),J57*$E$51/4,0)</f>
        <v>0</v>
      </c>
      <c r="K59" s="82">
        <f>IF(AND(K57&gt;0,SUM($G58:K58)&lt;=($E$48-$E$49)),K57*$E$51/4,0)</f>
        <v>0</v>
      </c>
      <c r="L59" s="82">
        <f>IF(AND(L57&gt;0,SUM($G58:L58)&lt;=($E$48-$E$49)),L57*$E$51/4,0)</f>
        <v>0</v>
      </c>
      <c r="M59" s="82">
        <f>IF(AND(M57&gt;0,SUM($G58:M58)&lt;=($E$48-$E$49)),M57*$E$51/4,0)</f>
        <v>0</v>
      </c>
      <c r="N59" s="82">
        <f>IF(AND(N57&gt;0,SUM($G58:N58)&lt;=($E$48-$E$49)),N57*$E$51/4,0)</f>
        <v>0</v>
      </c>
      <c r="O59" s="82">
        <f>IF(AND(O57&gt;0,SUM($G58:O58)&lt;=($E$48-$E$49)),O57*$E$51/4,0)</f>
        <v>0</v>
      </c>
      <c r="P59" s="82">
        <f>IF(AND(P57&gt;0,SUM($G58:P58)&lt;=($E$48-$E$49)),P57*$E$51/4,0)</f>
        <v>0</v>
      </c>
      <c r="Q59" s="82">
        <f>IF(AND(Q57&gt;0,SUM($G58:Q58)&lt;=($E$48-$E$49)),Q57*$E$51/4,0)</f>
        <v>0</v>
      </c>
      <c r="R59" s="82">
        <f>IF(AND(R57&gt;0,SUM($G58:R58)&lt;=($E$48-$E$49)),R57*$E$51/4,0)</f>
        <v>0</v>
      </c>
      <c r="S59" s="82">
        <f>IF(AND(S57&gt;0,SUM($G58:S58)&lt;=($E$48-$E$49)),S57*$E$51/4,0)</f>
        <v>17.045454545454543</v>
      </c>
      <c r="T59" s="82">
        <f>IF(AND(T57&gt;0,SUM($G58:T58)&lt;=($E$48-$E$49)),T57*$E$51/4,0)</f>
        <v>17.045454545454543</v>
      </c>
      <c r="U59" s="82">
        <f>IF(AND(U57&gt;0,SUM($G58:U58)&lt;=($E$48-$E$49)),U57*$E$51/4,0)</f>
        <v>17.045454545454543</v>
      </c>
      <c r="V59" s="82">
        <f>IF(AND(V57&gt;0,SUM($G58:V58)&lt;=($E$48-$E$49)),V57*$E$51/4,0)</f>
        <v>17.045454545454543</v>
      </c>
      <c r="W59" s="82">
        <f>IF(AND(W57&gt;0,SUM($G58:W58)&lt;=($E$48-$E$49)),W57*$E$51/4,0)</f>
        <v>17.045454545454543</v>
      </c>
      <c r="X59" s="82">
        <f>IF(AND(X57&gt;0,SUM($G58:X58)&lt;=($E$48-$E$49)),X57*$E$51/4,0)</f>
        <v>17.045454545454543</v>
      </c>
      <c r="Y59" s="82">
        <f>IF(AND(Y57&gt;0,SUM($G58:Y58)&lt;=($E$48-$E$49)),Y57*$E$51/4,0)</f>
        <v>17.045454545454543</v>
      </c>
      <c r="Z59" s="82">
        <f>IF(AND(Z57&gt;0,SUM($G58:Z58)&lt;=($E$48-$E$49)),Z57*$E$51/4,0)</f>
        <v>17.045454545454543</v>
      </c>
      <c r="AA59" s="109">
        <f>SUM(G59:Z59)</f>
        <v>136.36363636363635</v>
      </c>
    </row>
    <row r="60" spans="2:29" x14ac:dyDescent="0.2">
      <c r="C60" s="1" t="s">
        <v>156</v>
      </c>
      <c r="D60" s="35"/>
      <c r="E60" s="35"/>
      <c r="F60" s="80" t="s">
        <v>117</v>
      </c>
      <c r="G60" s="82">
        <f>G59</f>
        <v>0</v>
      </c>
      <c r="H60" s="82">
        <f>G60+H59</f>
        <v>0</v>
      </c>
      <c r="I60" s="82">
        <f t="shared" ref="I60:Z60" si="29">H60+I59</f>
        <v>0</v>
      </c>
      <c r="J60" s="82">
        <f t="shared" si="29"/>
        <v>0</v>
      </c>
      <c r="K60" s="82">
        <f t="shared" si="29"/>
        <v>0</v>
      </c>
      <c r="L60" s="82">
        <f t="shared" si="29"/>
        <v>0</v>
      </c>
      <c r="M60" s="82">
        <f t="shared" si="29"/>
        <v>0</v>
      </c>
      <c r="N60" s="82">
        <f t="shared" si="29"/>
        <v>0</v>
      </c>
      <c r="O60" s="82">
        <f t="shared" si="29"/>
        <v>0</v>
      </c>
      <c r="P60" s="82">
        <f t="shared" si="29"/>
        <v>0</v>
      </c>
      <c r="Q60" s="82">
        <f t="shared" si="29"/>
        <v>0</v>
      </c>
      <c r="R60" s="82">
        <f t="shared" si="29"/>
        <v>0</v>
      </c>
      <c r="S60" s="82">
        <f t="shared" si="29"/>
        <v>17.045454545454543</v>
      </c>
      <c r="T60" s="82">
        <f t="shared" si="29"/>
        <v>34.090909090909086</v>
      </c>
      <c r="U60" s="82">
        <f t="shared" si="29"/>
        <v>51.136363636363626</v>
      </c>
      <c r="V60" s="82">
        <f t="shared" si="29"/>
        <v>68.181818181818173</v>
      </c>
      <c r="W60" s="82">
        <f t="shared" si="29"/>
        <v>85.22727272727272</v>
      </c>
      <c r="X60" s="82">
        <f t="shared" si="29"/>
        <v>102.27272727272727</v>
      </c>
      <c r="Y60" s="82">
        <f t="shared" si="29"/>
        <v>119.31818181818181</v>
      </c>
      <c r="Z60" s="82">
        <f t="shared" si="29"/>
        <v>136.36363636363635</v>
      </c>
      <c r="AA60" s="109"/>
    </row>
    <row r="61" spans="2:29" x14ac:dyDescent="0.2">
      <c r="C61" s="64" t="s">
        <v>245</v>
      </c>
      <c r="D61" s="35"/>
      <c r="E61" s="35"/>
      <c r="F61" s="80" t="s">
        <v>117</v>
      </c>
      <c r="G61" s="98">
        <f>G57-G60</f>
        <v>0</v>
      </c>
      <c r="H61" s="98">
        <f t="shared" ref="H61:Z61" si="30">H57-H60</f>
        <v>0</v>
      </c>
      <c r="I61" s="98">
        <f t="shared" si="30"/>
        <v>0</v>
      </c>
      <c r="J61" s="98">
        <f t="shared" si="30"/>
        <v>0</v>
      </c>
      <c r="K61" s="98">
        <f t="shared" si="30"/>
        <v>0</v>
      </c>
      <c r="L61" s="98">
        <f t="shared" si="30"/>
        <v>0</v>
      </c>
      <c r="M61" s="98">
        <f t="shared" si="30"/>
        <v>0</v>
      </c>
      <c r="N61" s="98">
        <f t="shared" si="30"/>
        <v>0</v>
      </c>
      <c r="O61" s="98">
        <f t="shared" si="30"/>
        <v>0</v>
      </c>
      <c r="P61" s="98">
        <f t="shared" si="30"/>
        <v>0</v>
      </c>
      <c r="Q61" s="98">
        <f t="shared" si="30"/>
        <v>0</v>
      </c>
      <c r="R61" s="98">
        <f t="shared" si="30"/>
        <v>0</v>
      </c>
      <c r="S61" s="98">
        <f t="shared" si="30"/>
        <v>1346.590909090909</v>
      </c>
      <c r="T61" s="98">
        <f t="shared" si="30"/>
        <v>1329.5454545454545</v>
      </c>
      <c r="U61" s="98">
        <f t="shared" si="30"/>
        <v>1312.5</v>
      </c>
      <c r="V61" s="98">
        <f t="shared" si="30"/>
        <v>1295.4545454545453</v>
      </c>
      <c r="W61" s="98">
        <f t="shared" si="30"/>
        <v>1278.4090909090908</v>
      </c>
      <c r="X61" s="98">
        <f t="shared" si="30"/>
        <v>1261.3636363636363</v>
      </c>
      <c r="Y61" s="98">
        <f t="shared" si="30"/>
        <v>1244.3181818181818</v>
      </c>
      <c r="Z61" s="98">
        <f t="shared" si="30"/>
        <v>1227.2727272727273</v>
      </c>
    </row>
    <row r="62" spans="2:29" x14ac:dyDescent="0.2">
      <c r="C62" s="35"/>
      <c r="D62" s="35"/>
      <c r="E62" s="35"/>
      <c r="F62" s="80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2:29" x14ac:dyDescent="0.2">
      <c r="B63" s="99" t="s">
        <v>51</v>
      </c>
      <c r="C63" s="35"/>
      <c r="D63" s="35"/>
      <c r="E63" s="35"/>
      <c r="F63" s="80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104"/>
    </row>
    <row r="64" spans="2:29" x14ac:dyDescent="0.2">
      <c r="B64" s="35"/>
      <c r="C64" s="35" t="s">
        <v>150</v>
      </c>
      <c r="D64" s="35"/>
      <c r="E64" s="30">
        <v>450</v>
      </c>
      <c r="F64" s="80" t="s">
        <v>117</v>
      </c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104"/>
    </row>
    <row r="65" spans="1:29" x14ac:dyDescent="0.2">
      <c r="B65" s="35"/>
      <c r="C65" s="44" t="s">
        <v>139</v>
      </c>
      <c r="D65" s="35"/>
      <c r="E65" s="29">
        <f>E64-E64/(1+Окружение!D13)</f>
        <v>40.909090909090935</v>
      </c>
      <c r="F65" s="80" t="s">
        <v>117</v>
      </c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104"/>
    </row>
    <row r="66" spans="1:29" x14ac:dyDescent="0.2">
      <c r="B66" s="35"/>
      <c r="C66" s="35" t="s">
        <v>151</v>
      </c>
      <c r="D66" s="35"/>
      <c r="E66" s="35"/>
      <c r="F66" s="80"/>
      <c r="G66" s="48">
        <v>0.05</v>
      </c>
      <c r="H66" s="48">
        <v>0.05</v>
      </c>
      <c r="I66" s="48">
        <v>0.05</v>
      </c>
      <c r="J66" s="48">
        <v>0.05</v>
      </c>
      <c r="K66" s="48">
        <v>0.1</v>
      </c>
      <c r="L66" s="48">
        <v>0.1</v>
      </c>
      <c r="M66" s="48">
        <v>0.1</v>
      </c>
      <c r="N66" s="48">
        <v>0.1</v>
      </c>
      <c r="O66" s="48">
        <v>0.1</v>
      </c>
      <c r="P66" s="48">
        <v>0.1</v>
      </c>
      <c r="Q66" s="48">
        <v>0.1</v>
      </c>
      <c r="R66" s="48">
        <v>0.1</v>
      </c>
      <c r="S66" s="48">
        <v>0</v>
      </c>
      <c r="T66" s="48">
        <v>0</v>
      </c>
      <c r="U66" s="48">
        <v>0</v>
      </c>
      <c r="V66" s="48">
        <v>0</v>
      </c>
      <c r="W66" s="48">
        <v>0</v>
      </c>
      <c r="X66" s="48">
        <v>0</v>
      </c>
      <c r="Y66" s="48">
        <v>0</v>
      </c>
      <c r="Z66" s="48">
        <v>0</v>
      </c>
      <c r="AA66" s="106">
        <f>SUM(G66:Z66)</f>
        <v>0.99999999999999989</v>
      </c>
      <c r="AB66" s="105" t="b">
        <f>AA66=100%</f>
        <v>1</v>
      </c>
    </row>
    <row r="67" spans="1:29" x14ac:dyDescent="0.2">
      <c r="B67" s="35"/>
      <c r="C67" s="1" t="s">
        <v>152</v>
      </c>
      <c r="D67" s="35"/>
      <c r="E67" s="48">
        <v>0.05</v>
      </c>
      <c r="F67" s="80" t="s">
        <v>123</v>
      </c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104"/>
    </row>
    <row r="68" spans="1:29" x14ac:dyDescent="0.2">
      <c r="D68" s="35"/>
      <c r="E68" s="35"/>
      <c r="F68" s="80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9" x14ac:dyDescent="0.2">
      <c r="C69" s="1" t="s">
        <v>153</v>
      </c>
      <c r="D69" s="35"/>
      <c r="E69" s="35"/>
      <c r="F69" s="80" t="s">
        <v>117</v>
      </c>
      <c r="G69" s="82">
        <v>48</v>
      </c>
      <c r="H69" s="82">
        <f t="shared" ref="H69:Z69" si="31">$E64*H66</f>
        <v>22.5</v>
      </c>
      <c r="I69" s="82">
        <f t="shared" si="31"/>
        <v>22.5</v>
      </c>
      <c r="J69" s="82">
        <f t="shared" si="31"/>
        <v>22.5</v>
      </c>
      <c r="K69" s="82">
        <f t="shared" si="31"/>
        <v>45</v>
      </c>
      <c r="L69" s="82">
        <f t="shared" si="31"/>
        <v>45</v>
      </c>
      <c r="M69" s="82">
        <f t="shared" si="31"/>
        <v>45</v>
      </c>
      <c r="N69" s="82">
        <f t="shared" si="31"/>
        <v>45</v>
      </c>
      <c r="O69" s="82">
        <f t="shared" si="31"/>
        <v>45</v>
      </c>
      <c r="P69" s="82">
        <f t="shared" si="31"/>
        <v>45</v>
      </c>
      <c r="Q69" s="82">
        <f t="shared" si="31"/>
        <v>45</v>
      </c>
      <c r="R69" s="82">
        <f t="shared" si="31"/>
        <v>45</v>
      </c>
      <c r="S69" s="82">
        <f t="shared" si="31"/>
        <v>0</v>
      </c>
      <c r="T69" s="82">
        <f t="shared" si="31"/>
        <v>0</v>
      </c>
      <c r="U69" s="82">
        <f t="shared" si="31"/>
        <v>0</v>
      </c>
      <c r="V69" s="82">
        <f t="shared" si="31"/>
        <v>0</v>
      </c>
      <c r="W69" s="82">
        <f t="shared" si="31"/>
        <v>0</v>
      </c>
      <c r="X69" s="82">
        <f t="shared" si="31"/>
        <v>0</v>
      </c>
      <c r="Y69" s="82">
        <f t="shared" si="31"/>
        <v>0</v>
      </c>
      <c r="Z69" s="82">
        <f t="shared" si="31"/>
        <v>0</v>
      </c>
      <c r="AA69" s="102">
        <f>SUM(G69:Z69)</f>
        <v>475.5</v>
      </c>
      <c r="AB69" s="105" t="b">
        <f>AA69=E64</f>
        <v>0</v>
      </c>
    </row>
    <row r="70" spans="1:29" x14ac:dyDescent="0.2">
      <c r="C70" s="44" t="s">
        <v>139</v>
      </c>
      <c r="D70" s="35"/>
      <c r="E70" s="35"/>
      <c r="F70" s="80" t="s">
        <v>117</v>
      </c>
      <c r="G70" s="82">
        <f>$E65*G66</f>
        <v>2.0454545454545467</v>
      </c>
      <c r="H70" s="82">
        <f t="shared" ref="H70:Z70" si="32">$E65*H66</f>
        <v>2.0454545454545467</v>
      </c>
      <c r="I70" s="82">
        <f t="shared" si="32"/>
        <v>2.0454545454545467</v>
      </c>
      <c r="J70" s="82">
        <f t="shared" si="32"/>
        <v>2.0454545454545467</v>
      </c>
      <c r="K70" s="82">
        <f t="shared" si="32"/>
        <v>4.0909090909090935</v>
      </c>
      <c r="L70" s="82">
        <f t="shared" si="32"/>
        <v>4.0909090909090935</v>
      </c>
      <c r="M70" s="82">
        <f t="shared" si="32"/>
        <v>4.0909090909090935</v>
      </c>
      <c r="N70" s="82">
        <f t="shared" si="32"/>
        <v>4.0909090909090935</v>
      </c>
      <c r="O70" s="82">
        <f t="shared" si="32"/>
        <v>4.0909090909090935</v>
      </c>
      <c r="P70" s="82">
        <f t="shared" si="32"/>
        <v>4.0909090909090935</v>
      </c>
      <c r="Q70" s="82">
        <f t="shared" si="32"/>
        <v>4.0909090909090935</v>
      </c>
      <c r="R70" s="82">
        <f t="shared" si="32"/>
        <v>4.0909090909090935</v>
      </c>
      <c r="S70" s="82">
        <f t="shared" si="32"/>
        <v>0</v>
      </c>
      <c r="T70" s="82">
        <f t="shared" si="32"/>
        <v>0</v>
      </c>
      <c r="U70" s="82">
        <f t="shared" si="32"/>
        <v>0</v>
      </c>
      <c r="V70" s="82">
        <f t="shared" si="32"/>
        <v>0</v>
      </c>
      <c r="W70" s="82">
        <f t="shared" si="32"/>
        <v>0</v>
      </c>
      <c r="X70" s="82">
        <f t="shared" si="32"/>
        <v>0</v>
      </c>
      <c r="Y70" s="82">
        <f t="shared" si="32"/>
        <v>0</v>
      </c>
      <c r="Z70" s="82">
        <f t="shared" si="32"/>
        <v>0</v>
      </c>
      <c r="AA70" s="109">
        <f>SUM(G70:Z70)</f>
        <v>40.909090909090935</v>
      </c>
      <c r="AB70" s="105" t="b">
        <f>AA70=E65</f>
        <v>1</v>
      </c>
    </row>
    <row r="71" spans="1:29" x14ac:dyDescent="0.2">
      <c r="C71" s="35" t="s">
        <v>246</v>
      </c>
      <c r="D71" s="35"/>
      <c r="E71" s="35"/>
      <c r="F71" s="80" t="s">
        <v>117</v>
      </c>
      <c r="G71" s="82">
        <f>G69-G70</f>
        <v>45.954545454545453</v>
      </c>
      <c r="H71" s="82">
        <f>G71+H69-H70</f>
        <v>66.409090909090907</v>
      </c>
      <c r="I71" s="82">
        <f t="shared" ref="I71:Z71" si="33">H71+I69-I70</f>
        <v>86.86363636363636</v>
      </c>
      <c r="J71" s="82">
        <f t="shared" si="33"/>
        <v>107.31818181818181</v>
      </c>
      <c r="K71" s="82">
        <f t="shared" si="33"/>
        <v>148.22727272727272</v>
      </c>
      <c r="L71" s="82">
        <f t="shared" si="33"/>
        <v>189.13636363636363</v>
      </c>
      <c r="M71" s="82">
        <f t="shared" si="33"/>
        <v>230.04545454545453</v>
      </c>
      <c r="N71" s="82">
        <f t="shared" si="33"/>
        <v>270.95454545454538</v>
      </c>
      <c r="O71" s="82">
        <f t="shared" si="33"/>
        <v>311.86363636363626</v>
      </c>
      <c r="P71" s="82">
        <f t="shared" si="33"/>
        <v>352.77272727272714</v>
      </c>
      <c r="Q71" s="82">
        <f t="shared" si="33"/>
        <v>393.68181818181802</v>
      </c>
      <c r="R71" s="82">
        <f t="shared" si="33"/>
        <v>434.59090909090889</v>
      </c>
      <c r="S71" s="82">
        <f t="shared" si="33"/>
        <v>434.59090909090889</v>
      </c>
      <c r="T71" s="82">
        <f t="shared" si="33"/>
        <v>434.59090909090889</v>
      </c>
      <c r="U71" s="82">
        <f t="shared" si="33"/>
        <v>434.59090909090889</v>
      </c>
      <c r="V71" s="82">
        <f t="shared" si="33"/>
        <v>434.59090909090889</v>
      </c>
      <c r="W71" s="82">
        <f t="shared" si="33"/>
        <v>434.59090909090889</v>
      </c>
      <c r="X71" s="82">
        <f t="shared" si="33"/>
        <v>434.59090909090889</v>
      </c>
      <c r="Y71" s="82">
        <f t="shared" si="33"/>
        <v>434.59090909090889</v>
      </c>
      <c r="Z71" s="82">
        <f t="shared" si="33"/>
        <v>434.59090909090889</v>
      </c>
      <c r="AA71" s="109"/>
      <c r="AB71" s="105"/>
    </row>
    <row r="72" spans="1:29" x14ac:dyDescent="0.2">
      <c r="C72" s="1" t="s">
        <v>230</v>
      </c>
      <c r="D72" s="35"/>
      <c r="E72" s="35"/>
      <c r="F72" s="80" t="s">
        <v>117</v>
      </c>
      <c r="G72" s="82">
        <f>IF(G71&lt;($E$64-$E$65),G71,0)</f>
        <v>45.954545454545453</v>
      </c>
      <c r="H72" s="82">
        <f t="shared" ref="H72:Z72" si="34">IF(H71&lt;($E$64-$E$65),H71,0)</f>
        <v>66.409090909090907</v>
      </c>
      <c r="I72" s="82">
        <f t="shared" si="34"/>
        <v>86.86363636363636</v>
      </c>
      <c r="J72" s="82">
        <f t="shared" si="34"/>
        <v>107.31818181818181</v>
      </c>
      <c r="K72" s="82">
        <f t="shared" si="34"/>
        <v>148.22727272727272</v>
      </c>
      <c r="L72" s="82">
        <f t="shared" si="34"/>
        <v>189.13636363636363</v>
      </c>
      <c r="M72" s="82">
        <f t="shared" si="34"/>
        <v>230.04545454545453</v>
      </c>
      <c r="N72" s="82">
        <f t="shared" si="34"/>
        <v>270.95454545454538</v>
      </c>
      <c r="O72" s="82">
        <f t="shared" si="34"/>
        <v>311.86363636363626</v>
      </c>
      <c r="P72" s="82">
        <f t="shared" si="34"/>
        <v>352.77272727272714</v>
      </c>
      <c r="Q72" s="82">
        <f t="shared" si="34"/>
        <v>393.68181818181802</v>
      </c>
      <c r="R72" s="82">
        <f t="shared" si="34"/>
        <v>0</v>
      </c>
      <c r="S72" s="82">
        <f t="shared" si="34"/>
        <v>0</v>
      </c>
      <c r="T72" s="82">
        <f t="shared" si="34"/>
        <v>0</v>
      </c>
      <c r="U72" s="82">
        <f t="shared" si="34"/>
        <v>0</v>
      </c>
      <c r="V72" s="82">
        <f t="shared" si="34"/>
        <v>0</v>
      </c>
      <c r="W72" s="82">
        <f t="shared" si="34"/>
        <v>0</v>
      </c>
      <c r="X72" s="82">
        <f t="shared" si="34"/>
        <v>0</v>
      </c>
      <c r="Y72" s="82">
        <f t="shared" si="34"/>
        <v>0</v>
      </c>
      <c r="Z72" s="82">
        <f t="shared" si="34"/>
        <v>0</v>
      </c>
    </row>
    <row r="73" spans="1:29" x14ac:dyDescent="0.2">
      <c r="C73" s="1" t="s">
        <v>244</v>
      </c>
      <c r="D73" s="35"/>
      <c r="E73" s="35"/>
      <c r="F73" s="80" t="s">
        <v>117</v>
      </c>
      <c r="G73" s="82">
        <f>IF(G71=($E$64-$E$65),($E$64-$E$65),0)</f>
        <v>0</v>
      </c>
      <c r="H73" s="82">
        <f t="shared" ref="H73:Z73" si="35">IF(H71=($E$64-$E$65),($E$64-$E$65),0)</f>
        <v>0</v>
      </c>
      <c r="I73" s="82">
        <f t="shared" si="35"/>
        <v>0</v>
      </c>
      <c r="J73" s="82">
        <f t="shared" si="35"/>
        <v>0</v>
      </c>
      <c r="K73" s="82">
        <f t="shared" si="35"/>
        <v>0</v>
      </c>
      <c r="L73" s="82">
        <f t="shared" si="35"/>
        <v>0</v>
      </c>
      <c r="M73" s="82">
        <f t="shared" si="35"/>
        <v>0</v>
      </c>
      <c r="N73" s="82">
        <f t="shared" si="35"/>
        <v>0</v>
      </c>
      <c r="O73" s="82">
        <f t="shared" si="35"/>
        <v>0</v>
      </c>
      <c r="P73" s="82">
        <f t="shared" si="35"/>
        <v>0</v>
      </c>
      <c r="Q73" s="82">
        <f t="shared" si="35"/>
        <v>0</v>
      </c>
      <c r="R73" s="82">
        <f t="shared" si="35"/>
        <v>0</v>
      </c>
      <c r="S73" s="82">
        <f t="shared" si="35"/>
        <v>0</v>
      </c>
      <c r="T73" s="82">
        <f t="shared" si="35"/>
        <v>0</v>
      </c>
      <c r="U73" s="82">
        <f t="shared" si="35"/>
        <v>0</v>
      </c>
      <c r="V73" s="82">
        <f t="shared" si="35"/>
        <v>0</v>
      </c>
      <c r="W73" s="82">
        <f t="shared" si="35"/>
        <v>0</v>
      </c>
      <c r="X73" s="82">
        <f t="shared" si="35"/>
        <v>0</v>
      </c>
      <c r="Y73" s="82">
        <f t="shared" si="35"/>
        <v>0</v>
      </c>
      <c r="Z73" s="82">
        <f t="shared" si="35"/>
        <v>0</v>
      </c>
      <c r="AA73" s="109"/>
    </row>
    <row r="74" spans="1:29" hidden="1" x14ac:dyDescent="0.2">
      <c r="B74" s="64"/>
      <c r="C74" s="95" t="s">
        <v>375</v>
      </c>
      <c r="D74" s="35"/>
      <c r="E74" s="35"/>
      <c r="F74" s="80" t="s">
        <v>117</v>
      </c>
      <c r="G74" s="97">
        <f>G73*$E$67/4</f>
        <v>0</v>
      </c>
      <c r="H74" s="97">
        <f t="shared" ref="H74:Z74" si="36">H73*$E$67/4</f>
        <v>0</v>
      </c>
      <c r="I74" s="97">
        <f t="shared" si="36"/>
        <v>0</v>
      </c>
      <c r="J74" s="97">
        <f t="shared" si="36"/>
        <v>0</v>
      </c>
      <c r="K74" s="97">
        <f t="shared" si="36"/>
        <v>0</v>
      </c>
      <c r="L74" s="97">
        <f t="shared" si="36"/>
        <v>0</v>
      </c>
      <c r="M74" s="97">
        <f t="shared" si="36"/>
        <v>0</v>
      </c>
      <c r="N74" s="97">
        <f t="shared" si="36"/>
        <v>0</v>
      </c>
      <c r="O74" s="97">
        <f t="shared" si="36"/>
        <v>0</v>
      </c>
      <c r="P74" s="97">
        <f t="shared" si="36"/>
        <v>0</v>
      </c>
      <c r="Q74" s="97">
        <f t="shared" si="36"/>
        <v>0</v>
      </c>
      <c r="R74" s="97">
        <f t="shared" si="36"/>
        <v>0</v>
      </c>
      <c r="S74" s="97">
        <f t="shared" si="36"/>
        <v>0</v>
      </c>
      <c r="T74" s="97">
        <f t="shared" si="36"/>
        <v>0</v>
      </c>
      <c r="U74" s="97">
        <f t="shared" si="36"/>
        <v>0</v>
      </c>
      <c r="V74" s="97">
        <f t="shared" si="36"/>
        <v>0</v>
      </c>
      <c r="W74" s="97">
        <f t="shared" si="36"/>
        <v>0</v>
      </c>
      <c r="X74" s="97">
        <f t="shared" si="36"/>
        <v>0</v>
      </c>
      <c r="Y74" s="97">
        <f t="shared" si="36"/>
        <v>0</v>
      </c>
      <c r="Z74" s="97">
        <f t="shared" si="36"/>
        <v>0</v>
      </c>
      <c r="AA74" s="109"/>
    </row>
    <row r="75" spans="1:29" x14ac:dyDescent="0.2">
      <c r="C75" s="1" t="s">
        <v>154</v>
      </c>
      <c r="D75" s="35"/>
      <c r="E75" s="35"/>
      <c r="F75" s="80" t="s">
        <v>117</v>
      </c>
      <c r="G75" s="82">
        <f>IF(AND(G73&gt;0,SUM(G74)&lt;=($E$64-$E$65)),G73*$E$67/4,0)</f>
        <v>0</v>
      </c>
      <c r="H75" s="82">
        <f>IF(AND(H73&gt;0,SUM($G74:H74)&lt;=($E$64-$E$65)),H73*$E$67/4,0)</f>
        <v>0</v>
      </c>
      <c r="I75" s="82">
        <f>IF(AND(I73&gt;0,SUM($G74:I74)&lt;=($E$64-$E$65)),I73*$E$67/4,0)</f>
        <v>0</v>
      </c>
      <c r="J75" s="82">
        <f>IF(AND(J73&gt;0,SUM($G74:J74)&lt;=($E$64-$E$65)),J73*$E$67/4,0)</f>
        <v>0</v>
      </c>
      <c r="K75" s="82">
        <f>IF(AND(K73&gt;0,SUM($G74:K74)&lt;=($E$64-$E$65)),K73*$E$67/4,0)</f>
        <v>0</v>
      </c>
      <c r="L75" s="82">
        <f>IF(AND(L73&gt;0,SUM($G74:L74)&lt;=($E$64-$E$65)),L73*$E$67/4,0)</f>
        <v>0</v>
      </c>
      <c r="M75" s="82">
        <f>IF(AND(M73&gt;0,SUM($G74:M74)&lt;=($E$64-$E$65)),M73*$E$67/4,0)</f>
        <v>0</v>
      </c>
      <c r="N75" s="82">
        <f>IF(AND(N73&gt;0,SUM($G74:N74)&lt;=($E$64-$E$65)),N73*$E$67/4,0)</f>
        <v>0</v>
      </c>
      <c r="O75" s="82">
        <f>IF(AND(O73&gt;0,SUM($G74:O74)&lt;=($E$64-$E$65)),O73*$E$67/4,0)</f>
        <v>0</v>
      </c>
      <c r="P75" s="82">
        <f>IF(AND(P73&gt;0,SUM($G74:P74)&lt;=($E$64-$E$65)),P73*$E$67/4,0)</f>
        <v>0</v>
      </c>
      <c r="Q75" s="82">
        <f>IF(AND(Q73&gt;0,SUM($G74:Q74)&lt;=($E$64-$E$65)),Q73*$E$67/4,0)</f>
        <v>0</v>
      </c>
      <c r="R75" s="82">
        <f>IF(AND(R73&gt;0,SUM($G74:R74)&lt;=($E$64-$E$65)),R73*$E$67/4,0)</f>
        <v>0</v>
      </c>
      <c r="S75" s="82">
        <f>IF(AND(S73&gt;0,SUM($G74:S74)&lt;=($E$64-$E$65)),S73*$E$67/4,0)</f>
        <v>0</v>
      </c>
      <c r="T75" s="82">
        <f>IF(AND(T73&gt;0,SUM($G74:T74)&lt;=($E$64-$E$65)),T73*$E$67/4,0)</f>
        <v>0</v>
      </c>
      <c r="U75" s="82">
        <f>IF(AND(U73&gt;0,SUM($G74:U74)&lt;=($E$64-$E$65)),U73*$E$67/4,0)</f>
        <v>0</v>
      </c>
      <c r="V75" s="82">
        <f>IF(AND(V73&gt;0,SUM($G74:V74)&lt;=($E$64-$E$65)),V73*$E$67/4,0)</f>
        <v>0</v>
      </c>
      <c r="W75" s="82">
        <f>IF(AND(W73&gt;0,SUM($G74:W74)&lt;=($E$64-$E$65)),W73*$E$67/4,0)</f>
        <v>0</v>
      </c>
      <c r="X75" s="82">
        <f>IF(AND(X73&gt;0,SUM($G74:X74)&lt;=($E$64-$E$65)),X73*$E$67/4,0)</f>
        <v>0</v>
      </c>
      <c r="Y75" s="82">
        <f>IF(AND(Y73&gt;0,SUM($G74:Y74)&lt;=($E$64-$E$65)),Y73*$E$67/4,0)</f>
        <v>0</v>
      </c>
      <c r="Z75" s="82">
        <f>IF(AND(Z73&gt;0,SUM($G74:Z74)&lt;=($E$64-$E$65)),Z73*$E$67/4,0)</f>
        <v>0</v>
      </c>
      <c r="AA75" s="109">
        <f>SUM(G75:Z75)</f>
        <v>0</v>
      </c>
    </row>
    <row r="76" spans="1:29" x14ac:dyDescent="0.2">
      <c r="C76" s="1" t="s">
        <v>156</v>
      </c>
      <c r="D76" s="35"/>
      <c r="E76" s="35"/>
      <c r="F76" s="80" t="s">
        <v>117</v>
      </c>
      <c r="G76" s="82">
        <f>G75</f>
        <v>0</v>
      </c>
      <c r="H76" s="82">
        <f>G76+H75</f>
        <v>0</v>
      </c>
      <c r="I76" s="82">
        <f t="shared" ref="I76:Z76" si="37">H76+I75</f>
        <v>0</v>
      </c>
      <c r="J76" s="82">
        <f t="shared" si="37"/>
        <v>0</v>
      </c>
      <c r="K76" s="82">
        <f t="shared" si="37"/>
        <v>0</v>
      </c>
      <c r="L76" s="82">
        <f t="shared" si="37"/>
        <v>0</v>
      </c>
      <c r="M76" s="82">
        <f t="shared" si="37"/>
        <v>0</v>
      </c>
      <c r="N76" s="82">
        <f t="shared" si="37"/>
        <v>0</v>
      </c>
      <c r="O76" s="82">
        <f t="shared" si="37"/>
        <v>0</v>
      </c>
      <c r="P76" s="82">
        <f t="shared" si="37"/>
        <v>0</v>
      </c>
      <c r="Q76" s="82">
        <f t="shared" si="37"/>
        <v>0</v>
      </c>
      <c r="R76" s="82">
        <f t="shared" si="37"/>
        <v>0</v>
      </c>
      <c r="S76" s="82">
        <f t="shared" si="37"/>
        <v>0</v>
      </c>
      <c r="T76" s="82">
        <f t="shared" si="37"/>
        <v>0</v>
      </c>
      <c r="U76" s="82">
        <f t="shared" si="37"/>
        <v>0</v>
      </c>
      <c r="V76" s="82">
        <f t="shared" si="37"/>
        <v>0</v>
      </c>
      <c r="W76" s="82">
        <f t="shared" si="37"/>
        <v>0</v>
      </c>
      <c r="X76" s="82">
        <f t="shared" si="37"/>
        <v>0</v>
      </c>
      <c r="Y76" s="82">
        <f t="shared" si="37"/>
        <v>0</v>
      </c>
      <c r="Z76" s="82">
        <f t="shared" si="37"/>
        <v>0</v>
      </c>
      <c r="AA76" s="109"/>
    </row>
    <row r="77" spans="1:29" x14ac:dyDescent="0.2">
      <c r="C77" s="64" t="s">
        <v>245</v>
      </c>
      <c r="D77" s="35"/>
      <c r="E77" s="35"/>
      <c r="F77" s="80" t="s">
        <v>117</v>
      </c>
      <c r="G77" s="98">
        <f>G73-G76</f>
        <v>0</v>
      </c>
      <c r="H77" s="98">
        <f t="shared" ref="H77:Z77" si="38">H73-H76</f>
        <v>0</v>
      </c>
      <c r="I77" s="98">
        <f t="shared" si="38"/>
        <v>0</v>
      </c>
      <c r="J77" s="98">
        <f t="shared" si="38"/>
        <v>0</v>
      </c>
      <c r="K77" s="98">
        <f t="shared" si="38"/>
        <v>0</v>
      </c>
      <c r="L77" s="98">
        <f t="shared" si="38"/>
        <v>0</v>
      </c>
      <c r="M77" s="98">
        <f t="shared" si="38"/>
        <v>0</v>
      </c>
      <c r="N77" s="98">
        <f t="shared" si="38"/>
        <v>0</v>
      </c>
      <c r="O77" s="98">
        <f t="shared" si="38"/>
        <v>0</v>
      </c>
      <c r="P77" s="98">
        <f t="shared" si="38"/>
        <v>0</v>
      </c>
      <c r="Q77" s="98">
        <f t="shared" si="38"/>
        <v>0</v>
      </c>
      <c r="R77" s="98">
        <f t="shared" si="38"/>
        <v>0</v>
      </c>
      <c r="S77" s="98">
        <f t="shared" si="38"/>
        <v>0</v>
      </c>
      <c r="T77" s="98">
        <f t="shared" si="38"/>
        <v>0</v>
      </c>
      <c r="U77" s="98">
        <f t="shared" si="38"/>
        <v>0</v>
      </c>
      <c r="V77" s="98">
        <f t="shared" si="38"/>
        <v>0</v>
      </c>
      <c r="W77" s="98">
        <f t="shared" si="38"/>
        <v>0</v>
      </c>
      <c r="X77" s="98">
        <f t="shared" si="38"/>
        <v>0</v>
      </c>
      <c r="Y77" s="98">
        <f t="shared" si="38"/>
        <v>0</v>
      </c>
      <c r="Z77" s="98">
        <f t="shared" si="38"/>
        <v>0</v>
      </c>
    </row>
    <row r="78" spans="1:29" x14ac:dyDescent="0.2">
      <c r="F78" s="80"/>
    </row>
    <row r="79" spans="1:29" x14ac:dyDescent="0.2">
      <c r="A79" s="100"/>
      <c r="B79" s="99" t="s">
        <v>52</v>
      </c>
      <c r="F79" s="80"/>
    </row>
    <row r="80" spans="1:29" s="35" customFormat="1" x14ac:dyDescent="0.2">
      <c r="C80" s="35" t="s">
        <v>150</v>
      </c>
      <c r="E80" s="30">
        <v>315</v>
      </c>
      <c r="F80" s="80" t="s">
        <v>117</v>
      </c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104"/>
      <c r="AB80" s="107"/>
      <c r="AC80" s="110"/>
    </row>
    <row r="81" spans="2:29" s="35" customFormat="1" x14ac:dyDescent="0.2">
      <c r="C81" s="44" t="s">
        <v>139</v>
      </c>
      <c r="E81" s="29">
        <f>E80-E80/(1+Окружение!D13)</f>
        <v>28.636363636363683</v>
      </c>
      <c r="F81" s="80" t="s">
        <v>117</v>
      </c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104"/>
      <c r="AB81" s="107"/>
      <c r="AC81" s="110"/>
    </row>
    <row r="82" spans="2:29" s="35" customFormat="1" x14ac:dyDescent="0.2">
      <c r="C82" s="35" t="s">
        <v>151</v>
      </c>
      <c r="F82" s="80"/>
      <c r="G82" s="48">
        <v>0.05</v>
      </c>
      <c r="H82" s="48">
        <v>0.05</v>
      </c>
      <c r="I82" s="48">
        <v>0.05</v>
      </c>
      <c r="J82" s="48">
        <v>0.05</v>
      </c>
      <c r="K82" s="48">
        <v>0.1</v>
      </c>
      <c r="L82" s="48">
        <v>0.1</v>
      </c>
      <c r="M82" s="48">
        <v>0.1</v>
      </c>
      <c r="N82" s="48">
        <v>0.1</v>
      </c>
      <c r="O82" s="48">
        <v>0.1</v>
      </c>
      <c r="P82" s="48">
        <v>0.1</v>
      </c>
      <c r="Q82" s="48">
        <v>0.1</v>
      </c>
      <c r="R82" s="48">
        <v>0.1</v>
      </c>
      <c r="S82" s="48">
        <v>0</v>
      </c>
      <c r="T82" s="48">
        <v>0</v>
      </c>
      <c r="U82" s="48">
        <v>0</v>
      </c>
      <c r="V82" s="48">
        <v>0</v>
      </c>
      <c r="W82" s="48">
        <v>0</v>
      </c>
      <c r="X82" s="48">
        <v>0</v>
      </c>
      <c r="Y82" s="48">
        <v>0</v>
      </c>
      <c r="Z82" s="48">
        <v>0</v>
      </c>
      <c r="AA82" s="106">
        <f>SUM(G82:Z82)</f>
        <v>0.99999999999999989</v>
      </c>
      <c r="AB82" s="105" t="b">
        <f>AA82=100%</f>
        <v>1</v>
      </c>
      <c r="AC82" s="110"/>
    </row>
    <row r="83" spans="2:29" s="35" customFormat="1" x14ac:dyDescent="0.2">
      <c r="C83" s="1" t="s">
        <v>152</v>
      </c>
      <c r="E83" s="48">
        <v>0.05</v>
      </c>
      <c r="F83" s="80" t="s">
        <v>123</v>
      </c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104"/>
      <c r="AB83" s="107"/>
      <c r="AC83" s="110"/>
    </row>
    <row r="84" spans="2:29" s="35" customFormat="1" x14ac:dyDescent="0.2">
      <c r="C84" s="1"/>
      <c r="F84" s="80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102"/>
      <c r="AB84" s="107"/>
      <c r="AC84" s="110"/>
    </row>
    <row r="85" spans="2:29" s="35" customFormat="1" x14ac:dyDescent="0.2">
      <c r="C85" s="1" t="s">
        <v>153</v>
      </c>
      <c r="F85" s="80" t="s">
        <v>117</v>
      </c>
      <c r="G85" s="82">
        <f>$E80*G82</f>
        <v>15.75</v>
      </c>
      <c r="H85" s="82">
        <f t="shared" ref="H85:Z85" si="39">$E80*H82</f>
        <v>15.75</v>
      </c>
      <c r="I85" s="82">
        <f t="shared" si="39"/>
        <v>15.75</v>
      </c>
      <c r="J85" s="82">
        <f t="shared" si="39"/>
        <v>15.75</v>
      </c>
      <c r="K85" s="82">
        <f t="shared" si="39"/>
        <v>31.5</v>
      </c>
      <c r="L85" s="82">
        <f t="shared" si="39"/>
        <v>31.5</v>
      </c>
      <c r="M85" s="82">
        <f t="shared" si="39"/>
        <v>31.5</v>
      </c>
      <c r="N85" s="82">
        <f t="shared" si="39"/>
        <v>31.5</v>
      </c>
      <c r="O85" s="82">
        <f t="shared" si="39"/>
        <v>31.5</v>
      </c>
      <c r="P85" s="82">
        <f t="shared" si="39"/>
        <v>31.5</v>
      </c>
      <c r="Q85" s="82">
        <f t="shared" si="39"/>
        <v>31.5</v>
      </c>
      <c r="R85" s="82">
        <f t="shared" si="39"/>
        <v>31.5</v>
      </c>
      <c r="S85" s="82">
        <f t="shared" si="39"/>
        <v>0</v>
      </c>
      <c r="T85" s="82">
        <f t="shared" si="39"/>
        <v>0</v>
      </c>
      <c r="U85" s="82">
        <f t="shared" si="39"/>
        <v>0</v>
      </c>
      <c r="V85" s="82">
        <f t="shared" si="39"/>
        <v>0</v>
      </c>
      <c r="W85" s="82">
        <f t="shared" si="39"/>
        <v>0</v>
      </c>
      <c r="X85" s="82">
        <f t="shared" si="39"/>
        <v>0</v>
      </c>
      <c r="Y85" s="82">
        <f t="shared" si="39"/>
        <v>0</v>
      </c>
      <c r="Z85" s="82">
        <f t="shared" si="39"/>
        <v>0</v>
      </c>
      <c r="AA85" s="102">
        <f>SUM(G85:Z85)</f>
        <v>315</v>
      </c>
      <c r="AB85" s="105" t="b">
        <f>AA85=E80</f>
        <v>1</v>
      </c>
      <c r="AC85" s="110"/>
    </row>
    <row r="86" spans="2:29" s="35" customFormat="1" x14ac:dyDescent="0.2">
      <c r="C86" s="44" t="s">
        <v>139</v>
      </c>
      <c r="F86" s="80" t="s">
        <v>117</v>
      </c>
      <c r="G86" s="82">
        <f>$E81*G82</f>
        <v>1.4318181818181843</v>
      </c>
      <c r="H86" s="82">
        <f t="shared" ref="H86:Z86" si="40">$E81*H82</f>
        <v>1.4318181818181843</v>
      </c>
      <c r="I86" s="82">
        <f t="shared" si="40"/>
        <v>1.4318181818181843</v>
      </c>
      <c r="J86" s="82">
        <f t="shared" si="40"/>
        <v>1.4318181818181843</v>
      </c>
      <c r="K86" s="82">
        <f t="shared" si="40"/>
        <v>2.8636363636363686</v>
      </c>
      <c r="L86" s="82">
        <f t="shared" si="40"/>
        <v>2.8636363636363686</v>
      </c>
      <c r="M86" s="82">
        <f t="shared" si="40"/>
        <v>2.8636363636363686</v>
      </c>
      <c r="N86" s="82">
        <f t="shared" si="40"/>
        <v>2.8636363636363686</v>
      </c>
      <c r="O86" s="82">
        <f t="shared" si="40"/>
        <v>2.8636363636363686</v>
      </c>
      <c r="P86" s="82">
        <f t="shared" si="40"/>
        <v>2.8636363636363686</v>
      </c>
      <c r="Q86" s="82">
        <f t="shared" si="40"/>
        <v>2.8636363636363686</v>
      </c>
      <c r="R86" s="82">
        <f t="shared" si="40"/>
        <v>2.8636363636363686</v>
      </c>
      <c r="S86" s="82">
        <f t="shared" si="40"/>
        <v>0</v>
      </c>
      <c r="T86" s="82">
        <f t="shared" si="40"/>
        <v>0</v>
      </c>
      <c r="U86" s="82">
        <f t="shared" si="40"/>
        <v>0</v>
      </c>
      <c r="V86" s="82">
        <f t="shared" si="40"/>
        <v>0</v>
      </c>
      <c r="W86" s="82">
        <f t="shared" si="40"/>
        <v>0</v>
      </c>
      <c r="X86" s="82">
        <f t="shared" si="40"/>
        <v>0</v>
      </c>
      <c r="Y86" s="82">
        <f t="shared" si="40"/>
        <v>0</v>
      </c>
      <c r="Z86" s="82">
        <f t="shared" si="40"/>
        <v>0</v>
      </c>
      <c r="AA86" s="109">
        <f>SUM(G86:Z86)</f>
        <v>28.636363636363683</v>
      </c>
      <c r="AB86" s="105" t="b">
        <f>AA86=E81</f>
        <v>1</v>
      </c>
      <c r="AC86" s="110"/>
    </row>
    <row r="87" spans="2:29" s="35" customFormat="1" x14ac:dyDescent="0.2">
      <c r="C87" s="35" t="s">
        <v>246</v>
      </c>
      <c r="F87" s="80" t="s">
        <v>117</v>
      </c>
      <c r="G87" s="82">
        <f>G85-G86</f>
        <v>14.318181818181817</v>
      </c>
      <c r="H87" s="82">
        <f>G87+H85-H86</f>
        <v>28.636363636363633</v>
      </c>
      <c r="I87" s="82">
        <f t="shared" ref="I87:Z87" si="41">H87+I85-I86</f>
        <v>42.954545454545446</v>
      </c>
      <c r="J87" s="82">
        <f t="shared" si="41"/>
        <v>57.272727272727259</v>
      </c>
      <c r="K87" s="82">
        <f t="shared" si="41"/>
        <v>85.909090909090878</v>
      </c>
      <c r="L87" s="82">
        <f t="shared" si="41"/>
        <v>114.5454545454545</v>
      </c>
      <c r="M87" s="82">
        <f t="shared" si="41"/>
        <v>143.18181818181813</v>
      </c>
      <c r="N87" s="82">
        <f t="shared" si="41"/>
        <v>171.81818181818176</v>
      </c>
      <c r="O87" s="82">
        <f t="shared" si="41"/>
        <v>200.45454545454538</v>
      </c>
      <c r="P87" s="82">
        <f t="shared" si="41"/>
        <v>229.09090909090901</v>
      </c>
      <c r="Q87" s="82">
        <f t="shared" si="41"/>
        <v>257.72727272727263</v>
      </c>
      <c r="R87" s="82">
        <f t="shared" si="41"/>
        <v>286.36363636363626</v>
      </c>
      <c r="S87" s="82">
        <f t="shared" si="41"/>
        <v>286.36363636363626</v>
      </c>
      <c r="T87" s="82">
        <f t="shared" si="41"/>
        <v>286.36363636363626</v>
      </c>
      <c r="U87" s="82">
        <f t="shared" si="41"/>
        <v>286.36363636363626</v>
      </c>
      <c r="V87" s="82">
        <f t="shared" si="41"/>
        <v>286.36363636363626</v>
      </c>
      <c r="W87" s="82">
        <f t="shared" si="41"/>
        <v>286.36363636363626</v>
      </c>
      <c r="X87" s="82">
        <f t="shared" si="41"/>
        <v>286.36363636363626</v>
      </c>
      <c r="Y87" s="82">
        <f t="shared" si="41"/>
        <v>286.36363636363626</v>
      </c>
      <c r="Z87" s="82">
        <f t="shared" si="41"/>
        <v>286.36363636363626</v>
      </c>
      <c r="AA87" s="109"/>
      <c r="AB87" s="105"/>
      <c r="AC87" s="110"/>
    </row>
    <row r="88" spans="2:29" s="35" customFormat="1" x14ac:dyDescent="0.2">
      <c r="C88" s="1" t="s">
        <v>230</v>
      </c>
      <c r="F88" s="80" t="s">
        <v>117</v>
      </c>
      <c r="G88" s="82">
        <f>IF(G87&lt;($E$80-$E$81),G87,0)</f>
        <v>14.318181818181817</v>
      </c>
      <c r="H88" s="82">
        <f t="shared" ref="H88:Z88" si="42">IF(H87&lt;($E$80-$E$81),H87,0)</f>
        <v>28.636363636363633</v>
      </c>
      <c r="I88" s="82">
        <f t="shared" si="42"/>
        <v>42.954545454545446</v>
      </c>
      <c r="J88" s="82">
        <f t="shared" si="42"/>
        <v>57.272727272727259</v>
      </c>
      <c r="K88" s="82">
        <f t="shared" si="42"/>
        <v>85.909090909090878</v>
      </c>
      <c r="L88" s="82">
        <f t="shared" si="42"/>
        <v>114.5454545454545</v>
      </c>
      <c r="M88" s="82">
        <f t="shared" si="42"/>
        <v>143.18181818181813</v>
      </c>
      <c r="N88" s="82">
        <f t="shared" si="42"/>
        <v>171.81818181818176</v>
      </c>
      <c r="O88" s="82">
        <f t="shared" si="42"/>
        <v>200.45454545454538</v>
      </c>
      <c r="P88" s="82">
        <f t="shared" si="42"/>
        <v>229.09090909090901</v>
      </c>
      <c r="Q88" s="82">
        <f t="shared" si="42"/>
        <v>257.72727272727263</v>
      </c>
      <c r="R88" s="82">
        <f t="shared" si="42"/>
        <v>0</v>
      </c>
      <c r="S88" s="82">
        <f t="shared" si="42"/>
        <v>0</v>
      </c>
      <c r="T88" s="82">
        <f t="shared" si="42"/>
        <v>0</v>
      </c>
      <c r="U88" s="82">
        <f t="shared" si="42"/>
        <v>0</v>
      </c>
      <c r="V88" s="82">
        <f t="shared" si="42"/>
        <v>0</v>
      </c>
      <c r="W88" s="82">
        <f t="shared" si="42"/>
        <v>0</v>
      </c>
      <c r="X88" s="82">
        <f t="shared" si="42"/>
        <v>0</v>
      </c>
      <c r="Y88" s="82">
        <f t="shared" si="42"/>
        <v>0</v>
      </c>
      <c r="Z88" s="82">
        <f t="shared" si="42"/>
        <v>0</v>
      </c>
      <c r="AA88" s="102"/>
      <c r="AB88" s="107"/>
      <c r="AC88" s="110"/>
    </row>
    <row r="89" spans="2:29" s="35" customFormat="1" x14ac:dyDescent="0.2">
      <c r="C89" s="1" t="s">
        <v>244</v>
      </c>
      <c r="F89" s="80" t="s">
        <v>117</v>
      </c>
      <c r="G89" s="82">
        <f>IF(G87=($E$80-$E$81),($E$80-$E$81),0)</f>
        <v>0</v>
      </c>
      <c r="H89" s="82">
        <f t="shared" ref="H89:Z89" si="43">IF(H87=($E$80-$E$81),($E$80-$E$81),0)</f>
        <v>0</v>
      </c>
      <c r="I89" s="82">
        <f t="shared" si="43"/>
        <v>0</v>
      </c>
      <c r="J89" s="82">
        <f t="shared" si="43"/>
        <v>0</v>
      </c>
      <c r="K89" s="82">
        <f t="shared" si="43"/>
        <v>0</v>
      </c>
      <c r="L89" s="82">
        <f t="shared" si="43"/>
        <v>0</v>
      </c>
      <c r="M89" s="82">
        <f t="shared" si="43"/>
        <v>0</v>
      </c>
      <c r="N89" s="82">
        <f t="shared" si="43"/>
        <v>0</v>
      </c>
      <c r="O89" s="82">
        <f t="shared" si="43"/>
        <v>0</v>
      </c>
      <c r="P89" s="82">
        <f t="shared" si="43"/>
        <v>0</v>
      </c>
      <c r="Q89" s="82">
        <f t="shared" si="43"/>
        <v>0</v>
      </c>
      <c r="R89" s="82">
        <f t="shared" si="43"/>
        <v>286.36363636363632</v>
      </c>
      <c r="S89" s="82">
        <f t="shared" si="43"/>
        <v>286.36363636363632</v>
      </c>
      <c r="T89" s="82">
        <f t="shared" si="43"/>
        <v>286.36363636363632</v>
      </c>
      <c r="U89" s="82">
        <f t="shared" si="43"/>
        <v>286.36363636363632</v>
      </c>
      <c r="V89" s="82">
        <f t="shared" si="43"/>
        <v>286.36363636363632</v>
      </c>
      <c r="W89" s="82">
        <f t="shared" si="43"/>
        <v>286.36363636363632</v>
      </c>
      <c r="X89" s="82">
        <f t="shared" si="43"/>
        <v>286.36363636363632</v>
      </c>
      <c r="Y89" s="82">
        <f t="shared" si="43"/>
        <v>286.36363636363632</v>
      </c>
      <c r="Z89" s="82">
        <f t="shared" si="43"/>
        <v>286.36363636363632</v>
      </c>
      <c r="AA89" s="109"/>
      <c r="AB89" s="107"/>
      <c r="AC89" s="110"/>
    </row>
    <row r="90" spans="2:29" s="35" customFormat="1" hidden="1" x14ac:dyDescent="0.2">
      <c r="C90" s="95" t="s">
        <v>375</v>
      </c>
      <c r="F90" s="80" t="s">
        <v>117</v>
      </c>
      <c r="G90" s="97">
        <f>G89*$E$83/4</f>
        <v>0</v>
      </c>
      <c r="H90" s="97">
        <f t="shared" ref="H90:Z90" si="44">H89*$E$83/4</f>
        <v>0</v>
      </c>
      <c r="I90" s="97">
        <f t="shared" si="44"/>
        <v>0</v>
      </c>
      <c r="J90" s="97">
        <f t="shared" si="44"/>
        <v>0</v>
      </c>
      <c r="K90" s="97">
        <f t="shared" si="44"/>
        <v>0</v>
      </c>
      <c r="L90" s="97">
        <f t="shared" si="44"/>
        <v>0</v>
      </c>
      <c r="M90" s="97">
        <f t="shared" si="44"/>
        <v>0</v>
      </c>
      <c r="N90" s="97">
        <f t="shared" si="44"/>
        <v>0</v>
      </c>
      <c r="O90" s="97">
        <f t="shared" si="44"/>
        <v>0</v>
      </c>
      <c r="P90" s="97">
        <f t="shared" si="44"/>
        <v>0</v>
      </c>
      <c r="Q90" s="97">
        <f t="shared" si="44"/>
        <v>0</v>
      </c>
      <c r="R90" s="97">
        <f t="shared" si="44"/>
        <v>3.5795454545454541</v>
      </c>
      <c r="S90" s="97">
        <f t="shared" si="44"/>
        <v>3.5795454545454541</v>
      </c>
      <c r="T90" s="97">
        <f t="shared" si="44"/>
        <v>3.5795454545454541</v>
      </c>
      <c r="U90" s="97">
        <f t="shared" si="44"/>
        <v>3.5795454545454541</v>
      </c>
      <c r="V90" s="97">
        <f t="shared" si="44"/>
        <v>3.5795454545454541</v>
      </c>
      <c r="W90" s="97">
        <f t="shared" si="44"/>
        <v>3.5795454545454541</v>
      </c>
      <c r="X90" s="97">
        <f t="shared" si="44"/>
        <v>3.5795454545454541</v>
      </c>
      <c r="Y90" s="97">
        <f t="shared" si="44"/>
        <v>3.5795454545454541</v>
      </c>
      <c r="Z90" s="97">
        <f t="shared" si="44"/>
        <v>3.5795454545454541</v>
      </c>
      <c r="AA90" s="109"/>
      <c r="AB90" s="107"/>
      <c r="AC90" s="110"/>
    </row>
    <row r="91" spans="2:29" s="35" customFormat="1" x14ac:dyDescent="0.2">
      <c r="C91" s="1" t="s">
        <v>154</v>
      </c>
      <c r="F91" s="80" t="s">
        <v>117</v>
      </c>
      <c r="G91" s="82">
        <f>IF(AND(G89&gt;0,SUM(G90)&lt;=($E$80-$E$81)),G89*$E$83/4,0)</f>
        <v>0</v>
      </c>
      <c r="H91" s="82">
        <f>IF(AND(H89&gt;0,SUM($G90:H90)&lt;=($E$80-$E$81)),H89*$E$83/4,0)</f>
        <v>0</v>
      </c>
      <c r="I91" s="82">
        <f>IF(AND(I89&gt;0,SUM($G90:I90)&lt;=($E$80-$E$81)),I89*$E$83/4,0)</f>
        <v>0</v>
      </c>
      <c r="J91" s="82">
        <f>IF(AND(J89&gt;0,SUM($G90:J90)&lt;=($E$80-$E$81)),J89*$E$83/4,0)</f>
        <v>0</v>
      </c>
      <c r="K91" s="82">
        <f>IF(AND(K89&gt;0,SUM($G90:K90)&lt;=($E$80-$E$81)),K89*$E$83/4,0)</f>
        <v>0</v>
      </c>
      <c r="L91" s="82">
        <f>IF(AND(L89&gt;0,SUM($G90:L90)&lt;=($E$80-$E$81)),L89*$E$83/4,0)</f>
        <v>0</v>
      </c>
      <c r="M91" s="82">
        <f>IF(AND(M89&gt;0,SUM($G90:M90)&lt;=($E$80-$E$81)),M89*$E$83/4,0)</f>
        <v>0</v>
      </c>
      <c r="N91" s="82">
        <f>IF(AND(N89&gt;0,SUM($G90:N90)&lt;=($E$80-$E$81)),N89*$E$83/4,0)</f>
        <v>0</v>
      </c>
      <c r="O91" s="82">
        <f>IF(AND(O89&gt;0,SUM($G90:O90)&lt;=($E$80-$E$81)),O89*$E$83/4,0)</f>
        <v>0</v>
      </c>
      <c r="P91" s="82">
        <f>IF(AND(P89&gt;0,SUM($G90:P90)&lt;=($E$80-$E$81)),P89*$E$83/4,0)</f>
        <v>0</v>
      </c>
      <c r="Q91" s="82">
        <f>IF(AND(Q89&gt;0,SUM($G90:Q90)&lt;=($E$80-$E$81)),Q89*$E$83/4,0)</f>
        <v>0</v>
      </c>
      <c r="R91" s="82">
        <f>IF(AND(R89&gt;0,SUM($G90:R90)&lt;=($E$80-$E$81)),R89*$E$83/4,0)</f>
        <v>3.5795454545454541</v>
      </c>
      <c r="S91" s="82">
        <f>IF(AND(S89&gt;0,SUM($G90:S90)&lt;=($E$80-$E$81)),S89*$E$83/4,0)</f>
        <v>3.5795454545454541</v>
      </c>
      <c r="T91" s="82">
        <f>IF(AND(T89&gt;0,SUM($G90:T90)&lt;=($E$80-$E$81)),T89*$E$83/4,0)</f>
        <v>3.5795454545454541</v>
      </c>
      <c r="U91" s="82">
        <f>IF(AND(U89&gt;0,SUM($G90:U90)&lt;=($E$80-$E$81)),U89*$E$83/4,0)</f>
        <v>3.5795454545454541</v>
      </c>
      <c r="V91" s="82">
        <f>IF(AND(V89&gt;0,SUM($G90:V90)&lt;=($E$80-$E$81)),V89*$E$83/4,0)</f>
        <v>3.5795454545454541</v>
      </c>
      <c r="W91" s="82">
        <f>IF(AND(W89&gt;0,SUM($G90:W90)&lt;=($E$80-$E$81)),W89*$E$83/4,0)</f>
        <v>3.5795454545454541</v>
      </c>
      <c r="X91" s="82">
        <f>IF(AND(X89&gt;0,SUM($G90:X90)&lt;=($E$80-$E$81)),X89*$E$83/4,0)</f>
        <v>3.5795454545454541</v>
      </c>
      <c r="Y91" s="82">
        <f>IF(AND(Y89&gt;0,SUM($G90:Y90)&lt;=($E$80-$E$81)),Y89*$E$83/4,0)</f>
        <v>3.5795454545454541</v>
      </c>
      <c r="Z91" s="82">
        <f>IF(AND(Z89&gt;0,SUM($G90:Z90)&lt;=($E$80-$E$81)),Z89*$E$83/4,0)</f>
        <v>3.5795454545454541</v>
      </c>
      <c r="AA91" s="109">
        <f>SUM(G91:Z91)</f>
        <v>32.215909090909086</v>
      </c>
      <c r="AB91" s="107"/>
      <c r="AC91" s="110"/>
    </row>
    <row r="92" spans="2:29" s="35" customFormat="1" x14ac:dyDescent="0.2">
      <c r="C92" s="1" t="s">
        <v>156</v>
      </c>
      <c r="F92" s="80" t="s">
        <v>117</v>
      </c>
      <c r="G92" s="82">
        <f>G91</f>
        <v>0</v>
      </c>
      <c r="H92" s="82">
        <f>G92+H91</f>
        <v>0</v>
      </c>
      <c r="I92" s="82">
        <f t="shared" ref="I92:Z92" si="45">H92+I91</f>
        <v>0</v>
      </c>
      <c r="J92" s="82">
        <f t="shared" si="45"/>
        <v>0</v>
      </c>
      <c r="K92" s="82">
        <f t="shared" si="45"/>
        <v>0</v>
      </c>
      <c r="L92" s="82">
        <f t="shared" si="45"/>
        <v>0</v>
      </c>
      <c r="M92" s="82">
        <f t="shared" si="45"/>
        <v>0</v>
      </c>
      <c r="N92" s="82">
        <f t="shared" si="45"/>
        <v>0</v>
      </c>
      <c r="O92" s="82">
        <f t="shared" si="45"/>
        <v>0</v>
      </c>
      <c r="P92" s="82">
        <f t="shared" si="45"/>
        <v>0</v>
      </c>
      <c r="Q92" s="82">
        <f t="shared" si="45"/>
        <v>0</v>
      </c>
      <c r="R92" s="82">
        <f t="shared" si="45"/>
        <v>3.5795454545454541</v>
      </c>
      <c r="S92" s="82">
        <f t="shared" si="45"/>
        <v>7.1590909090909083</v>
      </c>
      <c r="T92" s="82">
        <f t="shared" si="45"/>
        <v>10.738636363636363</v>
      </c>
      <c r="U92" s="82">
        <f t="shared" si="45"/>
        <v>14.318181818181817</v>
      </c>
      <c r="V92" s="82">
        <f t="shared" si="45"/>
        <v>17.89772727272727</v>
      </c>
      <c r="W92" s="82">
        <f t="shared" si="45"/>
        <v>21.477272727272723</v>
      </c>
      <c r="X92" s="82">
        <f t="shared" si="45"/>
        <v>25.056818181818176</v>
      </c>
      <c r="Y92" s="82">
        <f t="shared" si="45"/>
        <v>28.63636363636363</v>
      </c>
      <c r="Z92" s="82">
        <f t="shared" si="45"/>
        <v>32.215909090909086</v>
      </c>
      <c r="AA92" s="109"/>
      <c r="AB92" s="107"/>
      <c r="AC92" s="110"/>
    </row>
    <row r="93" spans="2:29" s="35" customFormat="1" x14ac:dyDescent="0.2">
      <c r="C93" s="64" t="s">
        <v>245</v>
      </c>
      <c r="F93" s="80" t="s">
        <v>117</v>
      </c>
      <c r="G93" s="98">
        <f>G89-G92</f>
        <v>0</v>
      </c>
      <c r="H93" s="98">
        <f t="shared" ref="H93:Z93" si="46">H89-H92</f>
        <v>0</v>
      </c>
      <c r="I93" s="98">
        <f t="shared" si="46"/>
        <v>0</v>
      </c>
      <c r="J93" s="98">
        <f t="shared" si="46"/>
        <v>0</v>
      </c>
      <c r="K93" s="98">
        <f t="shared" si="46"/>
        <v>0</v>
      </c>
      <c r="L93" s="98">
        <f t="shared" si="46"/>
        <v>0</v>
      </c>
      <c r="M93" s="98">
        <f t="shared" si="46"/>
        <v>0</v>
      </c>
      <c r="N93" s="98">
        <f t="shared" si="46"/>
        <v>0</v>
      </c>
      <c r="O93" s="98">
        <f t="shared" si="46"/>
        <v>0</v>
      </c>
      <c r="P93" s="98">
        <f t="shared" si="46"/>
        <v>0</v>
      </c>
      <c r="Q93" s="98">
        <f t="shared" si="46"/>
        <v>0</v>
      </c>
      <c r="R93" s="98">
        <f t="shared" si="46"/>
        <v>282.78409090909088</v>
      </c>
      <c r="S93" s="98">
        <f t="shared" si="46"/>
        <v>279.20454545454538</v>
      </c>
      <c r="T93" s="98">
        <f t="shared" si="46"/>
        <v>275.62499999999994</v>
      </c>
      <c r="U93" s="98">
        <f t="shared" si="46"/>
        <v>272.0454545454545</v>
      </c>
      <c r="V93" s="98">
        <f t="shared" si="46"/>
        <v>268.46590909090907</v>
      </c>
      <c r="W93" s="98">
        <f t="shared" si="46"/>
        <v>264.88636363636357</v>
      </c>
      <c r="X93" s="98">
        <f t="shared" si="46"/>
        <v>261.30681818181813</v>
      </c>
      <c r="Y93" s="98">
        <f t="shared" si="46"/>
        <v>257.72727272727269</v>
      </c>
      <c r="Z93" s="98">
        <f t="shared" si="46"/>
        <v>254.14772727272722</v>
      </c>
      <c r="AA93" s="102"/>
      <c r="AB93" s="107"/>
      <c r="AC93" s="110"/>
    </row>
    <row r="94" spans="2:29" x14ac:dyDescent="0.2">
      <c r="F94" s="80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2:29" x14ac:dyDescent="0.2">
      <c r="B95" s="99" t="s">
        <v>243</v>
      </c>
      <c r="F95" s="80"/>
    </row>
    <row r="96" spans="2:29" x14ac:dyDescent="0.2">
      <c r="C96" s="35" t="s">
        <v>150</v>
      </c>
      <c r="D96" s="35"/>
      <c r="E96" s="30">
        <v>0</v>
      </c>
      <c r="F96" s="80" t="s">
        <v>117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104"/>
    </row>
    <row r="97" spans="2:29" x14ac:dyDescent="0.2">
      <c r="C97" s="44" t="s">
        <v>139</v>
      </c>
      <c r="D97" s="35"/>
      <c r="E97" s="29">
        <f>E96-E96/(1+Окружение!D13)</f>
        <v>0</v>
      </c>
      <c r="F97" s="80" t="s">
        <v>117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104"/>
    </row>
    <row r="98" spans="2:29" x14ac:dyDescent="0.2">
      <c r="C98" s="35" t="s">
        <v>151</v>
      </c>
      <c r="D98" s="35"/>
      <c r="E98" s="35"/>
      <c r="F98" s="80"/>
      <c r="G98" s="48">
        <v>0</v>
      </c>
      <c r="H98" s="48">
        <v>0</v>
      </c>
      <c r="I98" s="48">
        <v>0</v>
      </c>
      <c r="J98" s="48">
        <v>0</v>
      </c>
      <c r="K98" s="48">
        <v>0</v>
      </c>
      <c r="L98" s="48">
        <v>0</v>
      </c>
      <c r="M98" s="48">
        <v>0</v>
      </c>
      <c r="N98" s="48">
        <v>0</v>
      </c>
      <c r="O98" s="48">
        <v>0</v>
      </c>
      <c r="P98" s="48">
        <v>0</v>
      </c>
      <c r="Q98" s="48">
        <v>0</v>
      </c>
      <c r="R98" s="48">
        <v>0</v>
      </c>
      <c r="S98" s="48">
        <v>0</v>
      </c>
      <c r="T98" s="48">
        <v>0</v>
      </c>
      <c r="U98" s="48">
        <v>0</v>
      </c>
      <c r="V98" s="48">
        <v>0</v>
      </c>
      <c r="W98" s="48">
        <v>0</v>
      </c>
      <c r="X98" s="48">
        <v>0</v>
      </c>
      <c r="Y98" s="48">
        <v>0</v>
      </c>
      <c r="Z98" s="48">
        <v>0</v>
      </c>
      <c r="AA98" s="106">
        <f>SUM(G98:Z98)</f>
        <v>0</v>
      </c>
      <c r="AB98" s="105" t="b">
        <f>AA98=100%</f>
        <v>0</v>
      </c>
    </row>
    <row r="99" spans="2:29" x14ac:dyDescent="0.2">
      <c r="C99" s="1" t="s">
        <v>152</v>
      </c>
      <c r="D99" s="35"/>
      <c r="E99" s="48">
        <v>0</v>
      </c>
      <c r="F99" s="80" t="s">
        <v>123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104"/>
    </row>
    <row r="100" spans="2:29" x14ac:dyDescent="0.2">
      <c r="D100" s="35"/>
      <c r="E100" s="35"/>
      <c r="F100" s="80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2:29" s="35" customFormat="1" x14ac:dyDescent="0.2">
      <c r="C101" s="1" t="s">
        <v>153</v>
      </c>
      <c r="F101" s="80" t="s">
        <v>117</v>
      </c>
      <c r="G101" s="82">
        <f>$E96*G98</f>
        <v>0</v>
      </c>
      <c r="H101" s="82">
        <f t="shared" ref="H101:Z101" si="47">$E96*H98</f>
        <v>0</v>
      </c>
      <c r="I101" s="82">
        <f t="shared" si="47"/>
        <v>0</v>
      </c>
      <c r="J101" s="82">
        <f t="shared" si="47"/>
        <v>0</v>
      </c>
      <c r="K101" s="82">
        <f t="shared" si="47"/>
        <v>0</v>
      </c>
      <c r="L101" s="82">
        <f t="shared" si="47"/>
        <v>0</v>
      </c>
      <c r="M101" s="82">
        <f t="shared" si="47"/>
        <v>0</v>
      </c>
      <c r="N101" s="82">
        <f t="shared" si="47"/>
        <v>0</v>
      </c>
      <c r="O101" s="82">
        <f t="shared" si="47"/>
        <v>0</v>
      </c>
      <c r="P101" s="82">
        <f t="shared" si="47"/>
        <v>0</v>
      </c>
      <c r="Q101" s="82">
        <f t="shared" si="47"/>
        <v>0</v>
      </c>
      <c r="R101" s="82">
        <f t="shared" si="47"/>
        <v>0</v>
      </c>
      <c r="S101" s="82">
        <f t="shared" si="47"/>
        <v>0</v>
      </c>
      <c r="T101" s="82">
        <f t="shared" si="47"/>
        <v>0</v>
      </c>
      <c r="U101" s="82">
        <f t="shared" si="47"/>
        <v>0</v>
      </c>
      <c r="V101" s="82">
        <f t="shared" si="47"/>
        <v>0</v>
      </c>
      <c r="W101" s="82">
        <f t="shared" si="47"/>
        <v>0</v>
      </c>
      <c r="X101" s="82">
        <f t="shared" si="47"/>
        <v>0</v>
      </c>
      <c r="Y101" s="82">
        <f t="shared" si="47"/>
        <v>0</v>
      </c>
      <c r="Z101" s="82">
        <f t="shared" si="47"/>
        <v>0</v>
      </c>
      <c r="AA101" s="102">
        <f>SUM(G101:Z101)</f>
        <v>0</v>
      </c>
      <c r="AB101" s="105" t="b">
        <f>AA101=E96</f>
        <v>1</v>
      </c>
      <c r="AC101" s="110"/>
    </row>
    <row r="102" spans="2:29" x14ac:dyDescent="0.2">
      <c r="C102" s="44" t="s">
        <v>139</v>
      </c>
      <c r="D102" s="35"/>
      <c r="E102" s="35"/>
      <c r="F102" s="80" t="s">
        <v>117</v>
      </c>
      <c r="G102" s="82">
        <f>$E97*G98</f>
        <v>0</v>
      </c>
      <c r="H102" s="82">
        <f t="shared" ref="H102:Z102" si="48">$E97*H98</f>
        <v>0</v>
      </c>
      <c r="I102" s="82">
        <f t="shared" si="48"/>
        <v>0</v>
      </c>
      <c r="J102" s="82">
        <f t="shared" si="48"/>
        <v>0</v>
      </c>
      <c r="K102" s="82">
        <f t="shared" si="48"/>
        <v>0</v>
      </c>
      <c r="L102" s="82">
        <f t="shared" si="48"/>
        <v>0</v>
      </c>
      <c r="M102" s="82">
        <f t="shared" si="48"/>
        <v>0</v>
      </c>
      <c r="N102" s="82">
        <f t="shared" si="48"/>
        <v>0</v>
      </c>
      <c r="O102" s="82">
        <f t="shared" si="48"/>
        <v>0</v>
      </c>
      <c r="P102" s="82">
        <f t="shared" si="48"/>
        <v>0</v>
      </c>
      <c r="Q102" s="82">
        <f t="shared" si="48"/>
        <v>0</v>
      </c>
      <c r="R102" s="82">
        <f t="shared" si="48"/>
        <v>0</v>
      </c>
      <c r="S102" s="82">
        <f t="shared" si="48"/>
        <v>0</v>
      </c>
      <c r="T102" s="82">
        <f t="shared" si="48"/>
        <v>0</v>
      </c>
      <c r="U102" s="82">
        <f t="shared" si="48"/>
        <v>0</v>
      </c>
      <c r="V102" s="82">
        <f t="shared" si="48"/>
        <v>0</v>
      </c>
      <c r="W102" s="82">
        <f t="shared" si="48"/>
        <v>0</v>
      </c>
      <c r="X102" s="82">
        <f t="shared" si="48"/>
        <v>0</v>
      </c>
      <c r="Y102" s="82">
        <f t="shared" si="48"/>
        <v>0</v>
      </c>
      <c r="Z102" s="82">
        <f t="shared" si="48"/>
        <v>0</v>
      </c>
      <c r="AA102" s="109">
        <f>SUM(G102:Z102)</f>
        <v>0</v>
      </c>
      <c r="AB102" s="105" t="b">
        <f>AA102=E97</f>
        <v>1</v>
      </c>
    </row>
    <row r="103" spans="2:29" x14ac:dyDescent="0.2">
      <c r="C103" s="35" t="s">
        <v>246</v>
      </c>
      <c r="D103" s="35"/>
      <c r="E103" s="35"/>
      <c r="F103" s="80" t="s">
        <v>117</v>
      </c>
      <c r="G103" s="82">
        <f>G101-G102</f>
        <v>0</v>
      </c>
      <c r="H103" s="82">
        <f>G103+H101-H102</f>
        <v>0</v>
      </c>
      <c r="I103" s="82">
        <f t="shared" ref="I103:Z103" si="49">H103+I101-I102</f>
        <v>0</v>
      </c>
      <c r="J103" s="82">
        <f t="shared" si="49"/>
        <v>0</v>
      </c>
      <c r="K103" s="82">
        <f t="shared" si="49"/>
        <v>0</v>
      </c>
      <c r="L103" s="82">
        <f t="shared" si="49"/>
        <v>0</v>
      </c>
      <c r="M103" s="82">
        <f t="shared" si="49"/>
        <v>0</v>
      </c>
      <c r="N103" s="82">
        <f t="shared" si="49"/>
        <v>0</v>
      </c>
      <c r="O103" s="82">
        <f t="shared" si="49"/>
        <v>0</v>
      </c>
      <c r="P103" s="82">
        <f t="shared" si="49"/>
        <v>0</v>
      </c>
      <c r="Q103" s="82">
        <f t="shared" si="49"/>
        <v>0</v>
      </c>
      <c r="R103" s="82">
        <f t="shared" si="49"/>
        <v>0</v>
      </c>
      <c r="S103" s="82">
        <f t="shared" si="49"/>
        <v>0</v>
      </c>
      <c r="T103" s="82">
        <f t="shared" si="49"/>
        <v>0</v>
      </c>
      <c r="U103" s="82">
        <f t="shared" si="49"/>
        <v>0</v>
      </c>
      <c r="V103" s="82">
        <f t="shared" si="49"/>
        <v>0</v>
      </c>
      <c r="W103" s="82">
        <f t="shared" si="49"/>
        <v>0</v>
      </c>
      <c r="X103" s="82">
        <f t="shared" si="49"/>
        <v>0</v>
      </c>
      <c r="Y103" s="82">
        <f t="shared" si="49"/>
        <v>0</v>
      </c>
      <c r="Z103" s="82">
        <f t="shared" si="49"/>
        <v>0</v>
      </c>
      <c r="AA103" s="109"/>
      <c r="AB103" s="105"/>
    </row>
    <row r="104" spans="2:29" x14ac:dyDescent="0.2">
      <c r="C104" s="1" t="s">
        <v>230</v>
      </c>
      <c r="D104" s="35"/>
      <c r="E104" s="35"/>
      <c r="F104" s="80" t="s">
        <v>117</v>
      </c>
      <c r="G104" s="82">
        <f>IF(G103&lt;($E$96-$E$97),G103,0)</f>
        <v>0</v>
      </c>
      <c r="H104" s="82">
        <f t="shared" ref="H104:Z104" si="50">IF(H103&lt;($E$96-$E$97),H103,0)</f>
        <v>0</v>
      </c>
      <c r="I104" s="82">
        <f t="shared" si="50"/>
        <v>0</v>
      </c>
      <c r="J104" s="82">
        <f t="shared" si="50"/>
        <v>0</v>
      </c>
      <c r="K104" s="82">
        <f t="shared" si="50"/>
        <v>0</v>
      </c>
      <c r="L104" s="82">
        <f t="shared" si="50"/>
        <v>0</v>
      </c>
      <c r="M104" s="82">
        <f t="shared" si="50"/>
        <v>0</v>
      </c>
      <c r="N104" s="82">
        <f t="shared" si="50"/>
        <v>0</v>
      </c>
      <c r="O104" s="82">
        <f t="shared" si="50"/>
        <v>0</v>
      </c>
      <c r="P104" s="82">
        <f t="shared" si="50"/>
        <v>0</v>
      </c>
      <c r="Q104" s="82">
        <f t="shared" si="50"/>
        <v>0</v>
      </c>
      <c r="R104" s="82">
        <f t="shared" si="50"/>
        <v>0</v>
      </c>
      <c r="S104" s="82">
        <f t="shared" si="50"/>
        <v>0</v>
      </c>
      <c r="T104" s="82">
        <f t="shared" si="50"/>
        <v>0</v>
      </c>
      <c r="U104" s="82">
        <f t="shared" si="50"/>
        <v>0</v>
      </c>
      <c r="V104" s="82">
        <f t="shared" si="50"/>
        <v>0</v>
      </c>
      <c r="W104" s="82">
        <f t="shared" si="50"/>
        <v>0</v>
      </c>
      <c r="X104" s="82">
        <f t="shared" si="50"/>
        <v>0</v>
      </c>
      <c r="Y104" s="82">
        <f t="shared" si="50"/>
        <v>0</v>
      </c>
      <c r="Z104" s="82">
        <f t="shared" si="50"/>
        <v>0</v>
      </c>
    </row>
    <row r="105" spans="2:29" x14ac:dyDescent="0.2">
      <c r="C105" s="1" t="s">
        <v>244</v>
      </c>
      <c r="D105" s="35"/>
      <c r="E105" s="35"/>
      <c r="F105" s="80" t="s">
        <v>117</v>
      </c>
      <c r="G105" s="82">
        <f>IF(G103=($E$96-$E$97),($E$96-$E$97),0)</f>
        <v>0</v>
      </c>
      <c r="H105" s="82">
        <f t="shared" ref="H105:Z105" si="51">IF(H103=($E$96-$E$97),($E$96-$E$97),0)</f>
        <v>0</v>
      </c>
      <c r="I105" s="82">
        <f t="shared" si="51"/>
        <v>0</v>
      </c>
      <c r="J105" s="82">
        <f t="shared" si="51"/>
        <v>0</v>
      </c>
      <c r="K105" s="82">
        <f t="shared" si="51"/>
        <v>0</v>
      </c>
      <c r="L105" s="82">
        <f t="shared" si="51"/>
        <v>0</v>
      </c>
      <c r="M105" s="82">
        <f t="shared" si="51"/>
        <v>0</v>
      </c>
      <c r="N105" s="82">
        <f t="shared" si="51"/>
        <v>0</v>
      </c>
      <c r="O105" s="82">
        <f t="shared" si="51"/>
        <v>0</v>
      </c>
      <c r="P105" s="82">
        <f t="shared" si="51"/>
        <v>0</v>
      </c>
      <c r="Q105" s="82">
        <f t="shared" si="51"/>
        <v>0</v>
      </c>
      <c r="R105" s="82">
        <f t="shared" si="51"/>
        <v>0</v>
      </c>
      <c r="S105" s="82">
        <f t="shared" si="51"/>
        <v>0</v>
      </c>
      <c r="T105" s="82">
        <f t="shared" si="51"/>
        <v>0</v>
      </c>
      <c r="U105" s="82">
        <f t="shared" si="51"/>
        <v>0</v>
      </c>
      <c r="V105" s="82">
        <f t="shared" si="51"/>
        <v>0</v>
      </c>
      <c r="W105" s="82">
        <f t="shared" si="51"/>
        <v>0</v>
      </c>
      <c r="X105" s="82">
        <f t="shared" si="51"/>
        <v>0</v>
      </c>
      <c r="Y105" s="82">
        <f t="shared" si="51"/>
        <v>0</v>
      </c>
      <c r="Z105" s="82">
        <f t="shared" si="51"/>
        <v>0</v>
      </c>
      <c r="AA105" s="109"/>
    </row>
    <row r="106" spans="2:29" hidden="1" x14ac:dyDescent="0.2">
      <c r="C106" s="95" t="s">
        <v>375</v>
      </c>
      <c r="D106" s="35"/>
      <c r="E106" s="35"/>
      <c r="F106" s="80" t="s">
        <v>117</v>
      </c>
      <c r="G106" s="97">
        <f>G105*$E$99/4</f>
        <v>0</v>
      </c>
      <c r="H106" s="97">
        <f t="shared" ref="H106:Z106" si="52">H105*$E$99/4</f>
        <v>0</v>
      </c>
      <c r="I106" s="97">
        <f t="shared" si="52"/>
        <v>0</v>
      </c>
      <c r="J106" s="97">
        <f t="shared" si="52"/>
        <v>0</v>
      </c>
      <c r="K106" s="97">
        <f t="shared" si="52"/>
        <v>0</v>
      </c>
      <c r="L106" s="97">
        <f t="shared" si="52"/>
        <v>0</v>
      </c>
      <c r="M106" s="97">
        <f t="shared" si="52"/>
        <v>0</v>
      </c>
      <c r="N106" s="97">
        <f t="shared" si="52"/>
        <v>0</v>
      </c>
      <c r="O106" s="97">
        <f t="shared" si="52"/>
        <v>0</v>
      </c>
      <c r="P106" s="97">
        <f t="shared" si="52"/>
        <v>0</v>
      </c>
      <c r="Q106" s="97">
        <f t="shared" si="52"/>
        <v>0</v>
      </c>
      <c r="R106" s="97">
        <f t="shared" si="52"/>
        <v>0</v>
      </c>
      <c r="S106" s="97">
        <f t="shared" si="52"/>
        <v>0</v>
      </c>
      <c r="T106" s="97">
        <f t="shared" si="52"/>
        <v>0</v>
      </c>
      <c r="U106" s="97">
        <f t="shared" si="52"/>
        <v>0</v>
      </c>
      <c r="V106" s="97">
        <f t="shared" si="52"/>
        <v>0</v>
      </c>
      <c r="W106" s="97">
        <f t="shared" si="52"/>
        <v>0</v>
      </c>
      <c r="X106" s="97">
        <f t="shared" si="52"/>
        <v>0</v>
      </c>
      <c r="Y106" s="97">
        <f t="shared" si="52"/>
        <v>0</v>
      </c>
      <c r="Z106" s="97">
        <f t="shared" si="52"/>
        <v>0</v>
      </c>
      <c r="AA106" s="109"/>
    </row>
    <row r="107" spans="2:29" x14ac:dyDescent="0.2">
      <c r="C107" s="1" t="s">
        <v>154</v>
      </c>
      <c r="D107" s="35"/>
      <c r="E107" s="35"/>
      <c r="F107" s="80" t="s">
        <v>117</v>
      </c>
      <c r="G107" s="82">
        <f>IF(AND(G105&gt;0,SUM(G106)&lt;=($E$96-$E$97)),G105*$E$99/4,0)</f>
        <v>0</v>
      </c>
      <c r="H107" s="82">
        <f>IF(AND(H105&gt;0,SUM($G106:H106)&lt;=($E$96-$E$97)),H105*$E$99/4,0)</f>
        <v>0</v>
      </c>
      <c r="I107" s="82">
        <f>IF(AND(I105&gt;0,SUM($G106:I106)&lt;=($E$96-$E$97)),I105*$E$99/4,0)</f>
        <v>0</v>
      </c>
      <c r="J107" s="82">
        <f>IF(AND(J105&gt;0,SUM($G106:J106)&lt;=($E$96-$E$97)),J105*$E$99/4,0)</f>
        <v>0</v>
      </c>
      <c r="K107" s="82">
        <f>IF(AND(K105&gt;0,SUM($G106:K106)&lt;=($E$96-$E$97)),K105*$E$99/4,0)</f>
        <v>0</v>
      </c>
      <c r="L107" s="82">
        <f>IF(AND(L105&gt;0,SUM($G106:L106)&lt;=($E$96-$E$97)),L105*$E$99/4,0)</f>
        <v>0</v>
      </c>
      <c r="M107" s="82">
        <f>IF(AND(M105&gt;0,SUM($G106:M106)&lt;=($E$96-$E$97)),M105*$E$99/4,0)</f>
        <v>0</v>
      </c>
      <c r="N107" s="82">
        <f>IF(AND(N105&gt;0,SUM($G106:N106)&lt;=($E$96-$E$97)),N105*$E$99/4,0)</f>
        <v>0</v>
      </c>
      <c r="O107" s="82">
        <f>IF(AND(O105&gt;0,SUM($G106:O106)&lt;=($E$96-$E$97)),O105*$E$99/4,0)</f>
        <v>0</v>
      </c>
      <c r="P107" s="82">
        <f>IF(AND(P105&gt;0,SUM($G106:P106)&lt;=($E$96-$E$97)),P105*$E$99/4,0)</f>
        <v>0</v>
      </c>
      <c r="Q107" s="82">
        <f>IF(AND(Q105&gt;0,SUM($G106:Q106)&lt;=($E$96-$E$97)),Q105*$E$99/4,0)</f>
        <v>0</v>
      </c>
      <c r="R107" s="82">
        <f>IF(AND(R105&gt;0,SUM($G106:R106)&lt;=($E$96-$E$97)),R105*$E$99/4,0)</f>
        <v>0</v>
      </c>
      <c r="S107" s="82">
        <f>IF(AND(S105&gt;0,SUM($G106:S106)&lt;=($E$96-$E$97)),S105*$E$99/4,0)</f>
        <v>0</v>
      </c>
      <c r="T107" s="82">
        <f>IF(AND(T105&gt;0,SUM($G106:T106)&lt;=($E$96-$E$97)),T105*$E$99/4,0)</f>
        <v>0</v>
      </c>
      <c r="U107" s="82">
        <f>IF(AND(U105&gt;0,SUM($G106:U106)&lt;=($E$96-$E$97)),U105*$E$99/4,0)</f>
        <v>0</v>
      </c>
      <c r="V107" s="82">
        <f>IF(AND(V105&gt;0,SUM($G106:V106)&lt;=($E$96-$E$97)),V105*$E$99/4,0)</f>
        <v>0</v>
      </c>
      <c r="W107" s="82">
        <f>IF(AND(W105&gt;0,SUM($G106:W106)&lt;=($E$96-$E$97)),W105*$E$99/4,0)</f>
        <v>0</v>
      </c>
      <c r="X107" s="82">
        <f>IF(AND(X105&gt;0,SUM($G106:X106)&lt;=($E$96-$E$97)),X105*$E$99/4,0)</f>
        <v>0</v>
      </c>
      <c r="Y107" s="82">
        <f>IF(AND(Y105&gt;0,SUM($G106:Y106)&lt;=($E$96-$E$97)),Y105*$E$99/4,0)</f>
        <v>0</v>
      </c>
      <c r="Z107" s="82">
        <f>IF(AND(Z105&gt;0,SUM($G106:Z106)&lt;=($E$96-$E$97)),Z105*$E$99/4,0)</f>
        <v>0</v>
      </c>
      <c r="AA107" s="109">
        <f>SUM(G107:Z107)</f>
        <v>0</v>
      </c>
    </row>
    <row r="108" spans="2:29" x14ac:dyDescent="0.2">
      <c r="C108" s="1" t="s">
        <v>156</v>
      </c>
      <c r="D108" s="35"/>
      <c r="E108" s="35"/>
      <c r="F108" s="80" t="s">
        <v>117</v>
      </c>
      <c r="G108" s="82">
        <f>G107</f>
        <v>0</v>
      </c>
      <c r="H108" s="82">
        <f>G108+H107</f>
        <v>0</v>
      </c>
      <c r="I108" s="82">
        <f t="shared" ref="I108:Z108" si="53">H108+I107</f>
        <v>0</v>
      </c>
      <c r="J108" s="82">
        <f t="shared" si="53"/>
        <v>0</v>
      </c>
      <c r="K108" s="82">
        <f t="shared" si="53"/>
        <v>0</v>
      </c>
      <c r="L108" s="82">
        <f t="shared" si="53"/>
        <v>0</v>
      </c>
      <c r="M108" s="82">
        <f t="shared" si="53"/>
        <v>0</v>
      </c>
      <c r="N108" s="82">
        <f t="shared" si="53"/>
        <v>0</v>
      </c>
      <c r="O108" s="82">
        <f t="shared" si="53"/>
        <v>0</v>
      </c>
      <c r="P108" s="82">
        <f t="shared" si="53"/>
        <v>0</v>
      </c>
      <c r="Q108" s="82">
        <f t="shared" si="53"/>
        <v>0</v>
      </c>
      <c r="R108" s="82">
        <f t="shared" si="53"/>
        <v>0</v>
      </c>
      <c r="S108" s="82">
        <f t="shared" si="53"/>
        <v>0</v>
      </c>
      <c r="T108" s="82">
        <f t="shared" si="53"/>
        <v>0</v>
      </c>
      <c r="U108" s="82">
        <f t="shared" si="53"/>
        <v>0</v>
      </c>
      <c r="V108" s="82">
        <f t="shared" si="53"/>
        <v>0</v>
      </c>
      <c r="W108" s="82">
        <f t="shared" si="53"/>
        <v>0</v>
      </c>
      <c r="X108" s="82">
        <f t="shared" si="53"/>
        <v>0</v>
      </c>
      <c r="Y108" s="82">
        <f t="shared" si="53"/>
        <v>0</v>
      </c>
      <c r="Z108" s="82">
        <f t="shared" si="53"/>
        <v>0</v>
      </c>
      <c r="AA108" s="109"/>
    </row>
    <row r="109" spans="2:29" x14ac:dyDescent="0.2">
      <c r="C109" s="64" t="s">
        <v>245</v>
      </c>
      <c r="D109" s="35"/>
      <c r="E109" s="35"/>
      <c r="F109" s="80" t="s">
        <v>117</v>
      </c>
      <c r="G109" s="98">
        <f>G105-G108</f>
        <v>0</v>
      </c>
      <c r="H109" s="98">
        <f t="shared" ref="H109:Z109" si="54">H105-H108</f>
        <v>0</v>
      </c>
      <c r="I109" s="98">
        <f t="shared" si="54"/>
        <v>0</v>
      </c>
      <c r="J109" s="98">
        <f t="shared" si="54"/>
        <v>0</v>
      </c>
      <c r="K109" s="98">
        <f t="shared" si="54"/>
        <v>0</v>
      </c>
      <c r="L109" s="98">
        <f t="shared" si="54"/>
        <v>0</v>
      </c>
      <c r="M109" s="98">
        <f t="shared" si="54"/>
        <v>0</v>
      </c>
      <c r="N109" s="98">
        <f t="shared" si="54"/>
        <v>0</v>
      </c>
      <c r="O109" s="98">
        <f t="shared" si="54"/>
        <v>0</v>
      </c>
      <c r="P109" s="98">
        <f t="shared" si="54"/>
        <v>0</v>
      </c>
      <c r="Q109" s="98">
        <f t="shared" si="54"/>
        <v>0</v>
      </c>
      <c r="R109" s="98">
        <f t="shared" si="54"/>
        <v>0</v>
      </c>
      <c r="S109" s="98">
        <f t="shared" si="54"/>
        <v>0</v>
      </c>
      <c r="T109" s="98">
        <f t="shared" si="54"/>
        <v>0</v>
      </c>
      <c r="U109" s="98">
        <f t="shared" si="54"/>
        <v>0</v>
      </c>
      <c r="V109" s="98">
        <f t="shared" si="54"/>
        <v>0</v>
      </c>
      <c r="W109" s="98">
        <f t="shared" si="54"/>
        <v>0</v>
      </c>
      <c r="X109" s="98">
        <f t="shared" si="54"/>
        <v>0</v>
      </c>
      <c r="Y109" s="98">
        <f t="shared" si="54"/>
        <v>0</v>
      </c>
      <c r="Z109" s="98">
        <f t="shared" si="54"/>
        <v>0</v>
      </c>
    </row>
    <row r="110" spans="2:29" x14ac:dyDescent="0.2">
      <c r="B110" s="99"/>
      <c r="F110" s="80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C110" s="107"/>
    </row>
    <row r="111" spans="2:29" s="35" customFormat="1" x14ac:dyDescent="0.2">
      <c r="B111" s="27" t="s">
        <v>107</v>
      </c>
      <c r="F111" s="80"/>
      <c r="AA111" s="104"/>
      <c r="AB111" s="105"/>
      <c r="AC111" s="110"/>
    </row>
    <row r="112" spans="2:29" x14ac:dyDescent="0.2">
      <c r="C112" s="27" t="s">
        <v>153</v>
      </c>
      <c r="F112" s="80" t="s">
        <v>117</v>
      </c>
      <c r="G112" s="15">
        <f>G53+G69+G85+G101</f>
        <v>138.75</v>
      </c>
      <c r="H112" s="15">
        <f t="shared" ref="H112:Z112" si="55">H53+H69+H85+H101</f>
        <v>113.25</v>
      </c>
      <c r="I112" s="15">
        <f t="shared" si="55"/>
        <v>113.25</v>
      </c>
      <c r="J112" s="15">
        <f t="shared" si="55"/>
        <v>113.25</v>
      </c>
      <c r="K112" s="15">
        <f t="shared" si="55"/>
        <v>151.5</v>
      </c>
      <c r="L112" s="15">
        <f t="shared" si="55"/>
        <v>151.5</v>
      </c>
      <c r="M112" s="15">
        <f t="shared" si="55"/>
        <v>226.5</v>
      </c>
      <c r="N112" s="15">
        <f t="shared" si="55"/>
        <v>226.5</v>
      </c>
      <c r="O112" s="15">
        <f t="shared" si="55"/>
        <v>226.5</v>
      </c>
      <c r="P112" s="15">
        <f t="shared" si="55"/>
        <v>226.5</v>
      </c>
      <c r="Q112" s="15">
        <f t="shared" si="55"/>
        <v>226.5</v>
      </c>
      <c r="R112" s="15">
        <f t="shared" si="55"/>
        <v>226.5</v>
      </c>
      <c r="S112" s="15">
        <f t="shared" si="55"/>
        <v>150</v>
      </c>
      <c r="T112" s="15">
        <f t="shared" si="55"/>
        <v>0</v>
      </c>
      <c r="U112" s="15">
        <f t="shared" si="55"/>
        <v>0</v>
      </c>
      <c r="V112" s="15">
        <f t="shared" si="55"/>
        <v>0</v>
      </c>
      <c r="W112" s="15">
        <f t="shared" si="55"/>
        <v>0</v>
      </c>
      <c r="X112" s="15">
        <f t="shared" si="55"/>
        <v>0</v>
      </c>
      <c r="Y112" s="15">
        <f t="shared" si="55"/>
        <v>0</v>
      </c>
      <c r="Z112" s="15">
        <f t="shared" si="55"/>
        <v>0</v>
      </c>
      <c r="AA112" s="109">
        <f>SUM(G112:Z112)</f>
        <v>2290.5</v>
      </c>
      <c r="AB112" s="107" t="b">
        <f>AA112=(E48+E64+E80+E96)</f>
        <v>0</v>
      </c>
    </row>
    <row r="113" spans="3:28" x14ac:dyDescent="0.2">
      <c r="C113" s="1" t="s">
        <v>139</v>
      </c>
      <c r="F113" s="80" t="s">
        <v>117</v>
      </c>
      <c r="G113" s="15">
        <f>G54+G70+G86+G102</f>
        <v>10.295454545454554</v>
      </c>
      <c r="H113" s="15">
        <f t="shared" ref="H113:Z113" si="56">H54+H70+H86+H102</f>
        <v>10.295454545454554</v>
      </c>
      <c r="I113" s="15">
        <f t="shared" si="56"/>
        <v>10.295454545454554</v>
      </c>
      <c r="J113" s="15">
        <f t="shared" si="56"/>
        <v>10.295454545454554</v>
      </c>
      <c r="K113" s="15">
        <f t="shared" si="56"/>
        <v>13.772727272727286</v>
      </c>
      <c r="L113" s="15">
        <f t="shared" si="56"/>
        <v>13.772727272727286</v>
      </c>
      <c r="M113" s="15">
        <f t="shared" si="56"/>
        <v>20.590909090909108</v>
      </c>
      <c r="N113" s="15">
        <f t="shared" si="56"/>
        <v>20.590909090909108</v>
      </c>
      <c r="O113" s="15">
        <f t="shared" si="56"/>
        <v>20.590909090909108</v>
      </c>
      <c r="P113" s="15">
        <f t="shared" si="56"/>
        <v>20.590909090909108</v>
      </c>
      <c r="Q113" s="15">
        <f t="shared" si="56"/>
        <v>20.590909090909108</v>
      </c>
      <c r="R113" s="15">
        <f t="shared" si="56"/>
        <v>20.590909090909108</v>
      </c>
      <c r="S113" s="15">
        <f t="shared" si="56"/>
        <v>13.636363636363649</v>
      </c>
      <c r="T113" s="15">
        <f t="shared" si="56"/>
        <v>0</v>
      </c>
      <c r="U113" s="15">
        <f t="shared" si="56"/>
        <v>0</v>
      </c>
      <c r="V113" s="15">
        <f t="shared" si="56"/>
        <v>0</v>
      </c>
      <c r="W113" s="15">
        <f t="shared" si="56"/>
        <v>0</v>
      </c>
      <c r="X113" s="15">
        <f t="shared" si="56"/>
        <v>0</v>
      </c>
      <c r="Y113" s="15">
        <f t="shared" si="56"/>
        <v>0</v>
      </c>
      <c r="Z113" s="15">
        <f t="shared" si="56"/>
        <v>0</v>
      </c>
      <c r="AA113" s="109">
        <f>SUM(G113:Z113)</f>
        <v>205.90909090909113</v>
      </c>
      <c r="AB113" s="107" t="b">
        <f>AA113=(E49+E65+E81+E97)</f>
        <v>1</v>
      </c>
    </row>
    <row r="114" spans="3:28" x14ac:dyDescent="0.2">
      <c r="C114" s="1" t="s">
        <v>230</v>
      </c>
      <c r="F114" s="80" t="s">
        <v>117</v>
      </c>
      <c r="G114" s="15">
        <f>G56+G72+G88+G104</f>
        <v>128.45454545454544</v>
      </c>
      <c r="H114" s="15">
        <f t="shared" ref="H114:Z114" si="57">H56+H72+H88+H104</f>
        <v>231.40909090909091</v>
      </c>
      <c r="I114" s="15">
        <f t="shared" si="57"/>
        <v>334.36363636363637</v>
      </c>
      <c r="J114" s="15">
        <f t="shared" si="57"/>
        <v>437.31818181818181</v>
      </c>
      <c r="K114" s="15">
        <f t="shared" si="57"/>
        <v>575.0454545454545</v>
      </c>
      <c r="L114" s="15">
        <f t="shared" si="57"/>
        <v>712.77272727272725</v>
      </c>
      <c r="M114" s="15">
        <f t="shared" si="57"/>
        <v>918.68181818181813</v>
      </c>
      <c r="N114" s="15">
        <f t="shared" si="57"/>
        <v>1124.590909090909</v>
      </c>
      <c r="O114" s="15">
        <f t="shared" si="57"/>
        <v>1330.5</v>
      </c>
      <c r="P114" s="15">
        <f t="shared" si="57"/>
        <v>1536.4090909090908</v>
      </c>
      <c r="Q114" s="15">
        <f t="shared" si="57"/>
        <v>1742.3181818181815</v>
      </c>
      <c r="R114" s="15">
        <f t="shared" si="57"/>
        <v>1227.272727272727</v>
      </c>
      <c r="S114" s="15">
        <f t="shared" si="57"/>
        <v>0</v>
      </c>
      <c r="T114" s="15">
        <f t="shared" si="57"/>
        <v>0</v>
      </c>
      <c r="U114" s="15">
        <f t="shared" si="57"/>
        <v>0</v>
      </c>
      <c r="V114" s="15">
        <f t="shared" si="57"/>
        <v>0</v>
      </c>
      <c r="W114" s="15">
        <f t="shared" si="57"/>
        <v>0</v>
      </c>
      <c r="X114" s="15">
        <f t="shared" si="57"/>
        <v>0</v>
      </c>
      <c r="Y114" s="15">
        <f t="shared" si="57"/>
        <v>0</v>
      </c>
      <c r="Z114" s="15">
        <f t="shared" si="57"/>
        <v>0</v>
      </c>
      <c r="AA114" s="109"/>
    </row>
    <row r="115" spans="3:28" x14ac:dyDescent="0.2">
      <c r="C115" s="27" t="s">
        <v>244</v>
      </c>
      <c r="F115" s="80" t="s">
        <v>117</v>
      </c>
      <c r="G115" s="15">
        <f>G57+G73+G89+G105</f>
        <v>0</v>
      </c>
      <c r="H115" s="15">
        <f t="shared" ref="H115:Z115" si="58">H57+H73+H89+H105</f>
        <v>0</v>
      </c>
      <c r="I115" s="15">
        <f t="shared" si="58"/>
        <v>0</v>
      </c>
      <c r="J115" s="15">
        <f t="shared" si="58"/>
        <v>0</v>
      </c>
      <c r="K115" s="15">
        <f t="shared" si="58"/>
        <v>0</v>
      </c>
      <c r="L115" s="15">
        <f t="shared" si="58"/>
        <v>0</v>
      </c>
      <c r="M115" s="15">
        <f t="shared" si="58"/>
        <v>0</v>
      </c>
      <c r="N115" s="15">
        <f t="shared" si="58"/>
        <v>0</v>
      </c>
      <c r="O115" s="15">
        <f t="shared" si="58"/>
        <v>0</v>
      </c>
      <c r="P115" s="15">
        <f t="shared" si="58"/>
        <v>0</v>
      </c>
      <c r="Q115" s="15">
        <f t="shared" si="58"/>
        <v>0</v>
      </c>
      <c r="R115" s="15">
        <f t="shared" si="58"/>
        <v>286.36363636363632</v>
      </c>
      <c r="S115" s="15">
        <f t="shared" si="58"/>
        <v>1649.9999999999998</v>
      </c>
      <c r="T115" s="15">
        <f t="shared" si="58"/>
        <v>1649.9999999999998</v>
      </c>
      <c r="U115" s="15">
        <f t="shared" si="58"/>
        <v>1649.9999999999998</v>
      </c>
      <c r="V115" s="15">
        <f t="shared" si="58"/>
        <v>1649.9999999999998</v>
      </c>
      <c r="W115" s="15">
        <f t="shared" si="58"/>
        <v>1649.9999999999998</v>
      </c>
      <c r="X115" s="15">
        <f t="shared" si="58"/>
        <v>1649.9999999999998</v>
      </c>
      <c r="Y115" s="15">
        <f t="shared" si="58"/>
        <v>1649.9999999999998</v>
      </c>
      <c r="Z115" s="15">
        <f t="shared" si="58"/>
        <v>1649.9999999999998</v>
      </c>
      <c r="AA115" s="109">
        <f>SUM(G115:Z115)</f>
        <v>13486.363636363636</v>
      </c>
    </row>
    <row r="116" spans="3:28" x14ac:dyDescent="0.2">
      <c r="C116" s="27" t="s">
        <v>154</v>
      </c>
      <c r="F116" s="80" t="s">
        <v>117</v>
      </c>
      <c r="G116" s="15">
        <f>G59+G75+G91+G107</f>
        <v>0</v>
      </c>
      <c r="H116" s="15">
        <f t="shared" ref="H116:Z116" si="59">H59+H75+H91+H107</f>
        <v>0</v>
      </c>
      <c r="I116" s="15">
        <f t="shared" si="59"/>
        <v>0</v>
      </c>
      <c r="J116" s="15">
        <f t="shared" si="59"/>
        <v>0</v>
      </c>
      <c r="K116" s="15">
        <f t="shared" si="59"/>
        <v>0</v>
      </c>
      <c r="L116" s="15">
        <f t="shared" si="59"/>
        <v>0</v>
      </c>
      <c r="M116" s="15">
        <f t="shared" si="59"/>
        <v>0</v>
      </c>
      <c r="N116" s="15">
        <f t="shared" si="59"/>
        <v>0</v>
      </c>
      <c r="O116" s="15">
        <f t="shared" si="59"/>
        <v>0</v>
      </c>
      <c r="P116" s="15">
        <f t="shared" si="59"/>
        <v>0</v>
      </c>
      <c r="Q116" s="15">
        <f t="shared" si="59"/>
        <v>0</v>
      </c>
      <c r="R116" s="15">
        <f t="shared" si="59"/>
        <v>3.5795454545454541</v>
      </c>
      <c r="S116" s="15">
        <f t="shared" si="59"/>
        <v>20.624999999999996</v>
      </c>
      <c r="T116" s="15">
        <f t="shared" si="59"/>
        <v>20.624999999999996</v>
      </c>
      <c r="U116" s="15">
        <f t="shared" si="59"/>
        <v>20.624999999999996</v>
      </c>
      <c r="V116" s="15">
        <f t="shared" si="59"/>
        <v>20.624999999999996</v>
      </c>
      <c r="W116" s="15">
        <f t="shared" si="59"/>
        <v>20.624999999999996</v>
      </c>
      <c r="X116" s="15">
        <f t="shared" si="59"/>
        <v>20.624999999999996</v>
      </c>
      <c r="Y116" s="15">
        <f t="shared" si="59"/>
        <v>20.624999999999996</v>
      </c>
      <c r="Z116" s="15">
        <f t="shared" si="59"/>
        <v>20.624999999999996</v>
      </c>
      <c r="AA116" s="109">
        <f>SUM(G116:Z116)</f>
        <v>168.57954545454544</v>
      </c>
      <c r="AB116" s="107" t="b">
        <f>AA116=(AA59+AA75+AA91+AA107)</f>
        <v>1</v>
      </c>
    </row>
    <row r="117" spans="3:28" x14ac:dyDescent="0.2">
      <c r="C117" s="27" t="s">
        <v>156</v>
      </c>
      <c r="F117" s="80" t="s">
        <v>117</v>
      </c>
      <c r="G117" s="15">
        <f>G60+G76+G92+G108</f>
        <v>0</v>
      </c>
      <c r="H117" s="15">
        <f t="shared" ref="H117:Z117" si="60">H60+H76+H92+H108</f>
        <v>0</v>
      </c>
      <c r="I117" s="15">
        <f t="shared" si="60"/>
        <v>0</v>
      </c>
      <c r="J117" s="15">
        <f t="shared" si="60"/>
        <v>0</v>
      </c>
      <c r="K117" s="15">
        <f t="shared" si="60"/>
        <v>0</v>
      </c>
      <c r="L117" s="15">
        <f t="shared" si="60"/>
        <v>0</v>
      </c>
      <c r="M117" s="15">
        <f t="shared" si="60"/>
        <v>0</v>
      </c>
      <c r="N117" s="15">
        <f t="shared" si="60"/>
        <v>0</v>
      </c>
      <c r="O117" s="15">
        <f t="shared" si="60"/>
        <v>0</v>
      </c>
      <c r="P117" s="15">
        <f t="shared" si="60"/>
        <v>0</v>
      </c>
      <c r="Q117" s="15">
        <f t="shared" si="60"/>
        <v>0</v>
      </c>
      <c r="R117" s="15">
        <f t="shared" si="60"/>
        <v>3.5795454545454541</v>
      </c>
      <c r="S117" s="15">
        <f t="shared" si="60"/>
        <v>24.204545454545453</v>
      </c>
      <c r="T117" s="15">
        <f t="shared" si="60"/>
        <v>44.829545454545453</v>
      </c>
      <c r="U117" s="15">
        <f t="shared" si="60"/>
        <v>65.454545454545439</v>
      </c>
      <c r="V117" s="15">
        <f t="shared" si="60"/>
        <v>86.079545454545439</v>
      </c>
      <c r="W117" s="15">
        <f t="shared" si="60"/>
        <v>106.70454545454544</v>
      </c>
      <c r="X117" s="15">
        <f t="shared" si="60"/>
        <v>127.32954545454544</v>
      </c>
      <c r="Y117" s="15">
        <f t="shared" si="60"/>
        <v>147.95454545454544</v>
      </c>
      <c r="Z117" s="15">
        <f t="shared" si="60"/>
        <v>168.57954545454544</v>
      </c>
    </row>
    <row r="118" spans="3:28" x14ac:dyDescent="0.2">
      <c r="C118" s="27" t="s">
        <v>155</v>
      </c>
      <c r="F118" s="80" t="s">
        <v>117</v>
      </c>
      <c r="G118" s="15">
        <f>G115-G117</f>
        <v>0</v>
      </c>
      <c r="H118" s="15">
        <f t="shared" ref="H118:Z118" si="61">H115-H117</f>
        <v>0</v>
      </c>
      <c r="I118" s="15">
        <f t="shared" si="61"/>
        <v>0</v>
      </c>
      <c r="J118" s="15">
        <f t="shared" si="61"/>
        <v>0</v>
      </c>
      <c r="K118" s="15">
        <f t="shared" si="61"/>
        <v>0</v>
      </c>
      <c r="L118" s="15">
        <f t="shared" si="61"/>
        <v>0</v>
      </c>
      <c r="M118" s="15">
        <f t="shared" si="61"/>
        <v>0</v>
      </c>
      <c r="N118" s="15">
        <f t="shared" si="61"/>
        <v>0</v>
      </c>
      <c r="O118" s="15">
        <f t="shared" si="61"/>
        <v>0</v>
      </c>
      <c r="P118" s="15">
        <f t="shared" si="61"/>
        <v>0</v>
      </c>
      <c r="Q118" s="15">
        <f t="shared" si="61"/>
        <v>0</v>
      </c>
      <c r="R118" s="15">
        <f t="shared" si="61"/>
        <v>282.78409090909088</v>
      </c>
      <c r="S118" s="15">
        <f t="shared" si="61"/>
        <v>1625.7954545454543</v>
      </c>
      <c r="T118" s="15">
        <f t="shared" si="61"/>
        <v>1605.1704545454543</v>
      </c>
      <c r="U118" s="15">
        <f t="shared" si="61"/>
        <v>1584.5454545454543</v>
      </c>
      <c r="V118" s="15">
        <f t="shared" si="61"/>
        <v>1563.9204545454543</v>
      </c>
      <c r="W118" s="15">
        <f t="shared" si="61"/>
        <v>1543.2954545454543</v>
      </c>
      <c r="X118" s="15">
        <f t="shared" si="61"/>
        <v>1522.6704545454543</v>
      </c>
      <c r="Y118" s="15">
        <f t="shared" si="61"/>
        <v>1502.0454545454543</v>
      </c>
      <c r="Z118" s="15">
        <f t="shared" si="61"/>
        <v>1481.4204545454543</v>
      </c>
      <c r="AA118" s="109">
        <f>SUM(G118:Z118)</f>
        <v>12711.647727272724</v>
      </c>
    </row>
    <row r="119" spans="3:28" x14ac:dyDescent="0.2">
      <c r="C119" s="1" t="s">
        <v>26</v>
      </c>
      <c r="F119" s="80" t="s">
        <v>117</v>
      </c>
      <c r="G119" s="15">
        <f>G118</f>
        <v>0</v>
      </c>
      <c r="H119" s="82">
        <f>(G118+H118)/2</f>
        <v>0</v>
      </c>
      <c r="I119" s="82">
        <f t="shared" ref="I119:Z119" si="62">(H118+I118)/2</f>
        <v>0</v>
      </c>
      <c r="J119" s="82">
        <f t="shared" si="62"/>
        <v>0</v>
      </c>
      <c r="K119" s="82">
        <f t="shared" si="62"/>
        <v>0</v>
      </c>
      <c r="L119" s="82">
        <f t="shared" si="62"/>
        <v>0</v>
      </c>
      <c r="M119" s="82">
        <f t="shared" si="62"/>
        <v>0</v>
      </c>
      <c r="N119" s="82">
        <f t="shared" si="62"/>
        <v>0</v>
      </c>
      <c r="O119" s="82">
        <f t="shared" si="62"/>
        <v>0</v>
      </c>
      <c r="P119" s="82">
        <f t="shared" si="62"/>
        <v>0</v>
      </c>
      <c r="Q119" s="82">
        <f t="shared" si="62"/>
        <v>0</v>
      </c>
      <c r="R119" s="82">
        <f t="shared" si="62"/>
        <v>141.39204545454544</v>
      </c>
      <c r="S119" s="82">
        <f t="shared" si="62"/>
        <v>954.28977272727252</v>
      </c>
      <c r="T119" s="82">
        <f t="shared" si="62"/>
        <v>1615.4829545454543</v>
      </c>
      <c r="U119" s="82">
        <f t="shared" si="62"/>
        <v>1594.8579545454543</v>
      </c>
      <c r="V119" s="82">
        <f t="shared" si="62"/>
        <v>1574.2329545454543</v>
      </c>
      <c r="W119" s="82">
        <f t="shared" si="62"/>
        <v>1553.6079545454543</v>
      </c>
      <c r="X119" s="82">
        <f t="shared" si="62"/>
        <v>1532.9829545454543</v>
      </c>
      <c r="Y119" s="82">
        <f t="shared" si="62"/>
        <v>1512.3579545454543</v>
      </c>
      <c r="Z119" s="82">
        <f t="shared" si="62"/>
        <v>1491.7329545454543</v>
      </c>
    </row>
    <row r="120" spans="3:28" x14ac:dyDescent="0.2">
      <c r="F120" s="80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3:28" x14ac:dyDescent="0.2">
      <c r="C121" s="1" t="s">
        <v>380</v>
      </c>
      <c r="F121" s="80" t="s">
        <v>117</v>
      </c>
      <c r="G121" s="82">
        <f>G119*Окружение!D15</f>
        <v>0</v>
      </c>
      <c r="H121" s="82">
        <f>H119*Окружение!E15</f>
        <v>0</v>
      </c>
      <c r="I121" s="82">
        <f>I119*Окружение!F15</f>
        <v>0</v>
      </c>
      <c r="J121" s="82">
        <f>J119*Окружение!G15</f>
        <v>0</v>
      </c>
      <c r="K121" s="82">
        <f>K119*Окружение!H15</f>
        <v>0</v>
      </c>
      <c r="L121" s="82">
        <f>L119*Окружение!I15</f>
        <v>0</v>
      </c>
      <c r="M121" s="82">
        <f>M119*Окружение!J15</f>
        <v>0</v>
      </c>
      <c r="N121" s="82">
        <f>N119*Окружение!K15</f>
        <v>0</v>
      </c>
      <c r="O121" s="82">
        <f>O119*Окружение!L15</f>
        <v>0</v>
      </c>
      <c r="P121" s="82">
        <f>P119*Окружение!M15</f>
        <v>0</v>
      </c>
      <c r="Q121" s="82">
        <f>Q119*Окружение!N15</f>
        <v>0</v>
      </c>
      <c r="R121" s="82">
        <f>R119*Окружение!O15</f>
        <v>2.8278409090909089</v>
      </c>
      <c r="S121" s="82">
        <f>S119*Окружение!P15</f>
        <v>19.085795454545451</v>
      </c>
      <c r="T121" s="82">
        <f>T119*Окружение!Q15</f>
        <v>32.309659090909086</v>
      </c>
      <c r="U121" s="82">
        <f>U119*Окружение!R15</f>
        <v>31.897159090909085</v>
      </c>
      <c r="V121" s="82">
        <f>V119*Окружение!S15</f>
        <v>31.484659090909087</v>
      </c>
      <c r="W121" s="82">
        <f>W119*Окружение!T15</f>
        <v>31.072159090909086</v>
      </c>
      <c r="X121" s="82">
        <f>X119*Окружение!U15</f>
        <v>30.659659090909088</v>
      </c>
      <c r="Y121" s="82">
        <f>Y119*Окружение!V15</f>
        <v>30.247159090909086</v>
      </c>
      <c r="Z121" s="82">
        <f>Z119*Окружение!W15</f>
        <v>29.834659090909085</v>
      </c>
    </row>
    <row r="122" spans="3:28" x14ac:dyDescent="0.2">
      <c r="F122" s="80"/>
    </row>
    <row r="123" spans="3:28" x14ac:dyDescent="0.2">
      <c r="F123" s="80"/>
    </row>
    <row r="124" spans="3:28" x14ac:dyDescent="0.2">
      <c r="F124" s="80"/>
    </row>
  </sheetData>
  <phoneticPr fontId="0" type="noConversion"/>
  <hyperlinks>
    <hyperlink ref="D1" r:id="rId1"/>
  </hyperlinks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84"/>
  <sheetViews>
    <sheetView workbookViewId="0">
      <selection activeCell="C1" sqref="C1"/>
    </sheetView>
  </sheetViews>
  <sheetFormatPr defaultRowHeight="12.75" x14ac:dyDescent="0.2"/>
  <cols>
    <col min="1" max="2" width="3.7109375" style="1" customWidth="1"/>
    <col min="3" max="3" width="54.85546875" style="1" customWidth="1"/>
    <col min="4" max="16384" width="9.140625" style="1"/>
  </cols>
  <sheetData>
    <row r="1" spans="1:24" ht="18" x14ac:dyDescent="0.25">
      <c r="C1" s="319" t="s">
        <v>573</v>
      </c>
    </row>
    <row r="2" spans="1:24" s="2" customFormat="1" x14ac:dyDescent="0.2">
      <c r="A2" s="11" t="s">
        <v>199</v>
      </c>
      <c r="B2" s="11"/>
      <c r="C2" s="12"/>
      <c r="D2" s="2" t="s">
        <v>108</v>
      </c>
      <c r="E2" s="3" t="s">
        <v>87</v>
      </c>
      <c r="F2" s="3" t="s">
        <v>88</v>
      </c>
      <c r="G2" s="3" t="s">
        <v>89</v>
      </c>
      <c r="H2" s="3" t="s">
        <v>90</v>
      </c>
      <c r="I2" s="4" t="s">
        <v>91</v>
      </c>
      <c r="J2" s="4" t="s">
        <v>92</v>
      </c>
      <c r="K2" s="4" t="s">
        <v>93</v>
      </c>
      <c r="L2" s="4" t="s">
        <v>94</v>
      </c>
      <c r="M2" s="5" t="s">
        <v>95</v>
      </c>
      <c r="N2" s="5" t="s">
        <v>96</v>
      </c>
      <c r="O2" s="5" t="s">
        <v>97</v>
      </c>
      <c r="P2" s="5" t="s">
        <v>98</v>
      </c>
      <c r="Q2" s="6" t="s">
        <v>99</v>
      </c>
      <c r="R2" s="6" t="s">
        <v>100</v>
      </c>
      <c r="S2" s="6" t="s">
        <v>101</v>
      </c>
      <c r="T2" s="6" t="s">
        <v>102</v>
      </c>
      <c r="U2" s="7" t="s">
        <v>103</v>
      </c>
      <c r="V2" s="7" t="s">
        <v>104</v>
      </c>
      <c r="W2" s="7" t="s">
        <v>105</v>
      </c>
      <c r="X2" s="7" t="s">
        <v>106</v>
      </c>
    </row>
    <row r="3" spans="1:24" s="35" customFormat="1" x14ac:dyDescent="0.2"/>
    <row r="4" spans="1:24" x14ac:dyDescent="0.2">
      <c r="A4" s="25" t="s">
        <v>200</v>
      </c>
    </row>
    <row r="5" spans="1:24" x14ac:dyDescent="0.2">
      <c r="A5" s="25"/>
      <c r="B5" s="1" t="s">
        <v>229</v>
      </c>
      <c r="D5" s="80" t="s">
        <v>117</v>
      </c>
      <c r="E5" s="29">
        <f>E6+E7</f>
        <v>170</v>
      </c>
      <c r="F5" s="29">
        <f>F7</f>
        <v>0</v>
      </c>
      <c r="G5" s="29">
        <f t="shared" ref="G5:W5" si="0">G7</f>
        <v>0</v>
      </c>
      <c r="H5" s="29">
        <f t="shared" si="0"/>
        <v>0</v>
      </c>
      <c r="I5" s="29">
        <f t="shared" si="0"/>
        <v>0</v>
      </c>
      <c r="J5" s="29">
        <f t="shared" si="0"/>
        <v>0</v>
      </c>
      <c r="K5" s="29">
        <v>50</v>
      </c>
      <c r="L5" s="29">
        <v>0</v>
      </c>
      <c r="M5" s="29">
        <f t="shared" si="0"/>
        <v>50</v>
      </c>
      <c r="N5" s="29">
        <f t="shared" si="0"/>
        <v>0</v>
      </c>
      <c r="O5" s="29">
        <v>50</v>
      </c>
      <c r="P5" s="29">
        <f t="shared" si="0"/>
        <v>0</v>
      </c>
      <c r="Q5" s="29">
        <f t="shared" si="0"/>
        <v>50</v>
      </c>
      <c r="R5" s="29">
        <f t="shared" si="0"/>
        <v>0</v>
      </c>
      <c r="S5" s="29">
        <f t="shared" si="0"/>
        <v>0</v>
      </c>
      <c r="T5" s="29">
        <f t="shared" si="0"/>
        <v>0</v>
      </c>
      <c r="U5" s="29">
        <f t="shared" si="0"/>
        <v>0</v>
      </c>
      <c r="V5" s="29">
        <f t="shared" si="0"/>
        <v>0</v>
      </c>
      <c r="W5" s="29">
        <f t="shared" si="0"/>
        <v>0</v>
      </c>
      <c r="X5" s="29">
        <f>X7</f>
        <v>0</v>
      </c>
    </row>
    <row r="6" spans="1:24" x14ac:dyDescent="0.2">
      <c r="A6" s="25"/>
      <c r="C6" s="1" t="s">
        <v>70</v>
      </c>
      <c r="D6" s="80" t="s">
        <v>117</v>
      </c>
      <c r="E6" s="30">
        <v>120</v>
      </c>
      <c r="F6" s="281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</row>
    <row r="7" spans="1:24" x14ac:dyDescent="0.2">
      <c r="A7" s="25"/>
      <c r="C7" s="1" t="s">
        <v>71</v>
      </c>
      <c r="D7" s="80" t="s">
        <v>117</v>
      </c>
      <c r="E7" s="30">
        <v>50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50</v>
      </c>
      <c r="N7" s="30">
        <v>0</v>
      </c>
      <c r="O7" s="30">
        <v>0</v>
      </c>
      <c r="P7" s="30">
        <v>0</v>
      </c>
      <c r="Q7" s="30">
        <v>50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</row>
    <row r="8" spans="1:24" x14ac:dyDescent="0.2">
      <c r="B8" s="1" t="s">
        <v>72</v>
      </c>
      <c r="D8" s="80" t="s">
        <v>117</v>
      </c>
      <c r="E8" s="30">
        <v>1000</v>
      </c>
      <c r="F8" s="30">
        <v>0</v>
      </c>
      <c r="G8" s="30">
        <v>0</v>
      </c>
      <c r="H8" s="30">
        <v>0</v>
      </c>
      <c r="I8" s="30">
        <v>0</v>
      </c>
      <c r="J8" s="30">
        <v>1000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</row>
    <row r="9" spans="1:24" x14ac:dyDescent="0.2">
      <c r="B9" s="28" t="s">
        <v>239</v>
      </c>
      <c r="D9" s="80" t="s">
        <v>117</v>
      </c>
      <c r="E9" s="29">
        <f>E5+E8</f>
        <v>1170</v>
      </c>
      <c r="F9" s="29">
        <f>E9+F5+F8</f>
        <v>1170</v>
      </c>
      <c r="G9" s="29">
        <f>F9+G5+G8</f>
        <v>1170</v>
      </c>
      <c r="H9" s="29">
        <f>G9+H5+H8</f>
        <v>1170</v>
      </c>
      <c r="I9" s="29">
        <f t="shared" ref="I9:W9" si="1">H9+I5+I8</f>
        <v>1170</v>
      </c>
      <c r="J9" s="29">
        <f t="shared" si="1"/>
        <v>2170</v>
      </c>
      <c r="K9" s="29">
        <f t="shared" si="1"/>
        <v>2220</v>
      </c>
      <c r="L9" s="29">
        <f t="shared" si="1"/>
        <v>2220</v>
      </c>
      <c r="M9" s="29">
        <f t="shared" si="1"/>
        <v>2270</v>
      </c>
      <c r="N9" s="29">
        <f t="shared" si="1"/>
        <v>2270</v>
      </c>
      <c r="O9" s="29">
        <f t="shared" si="1"/>
        <v>2320</v>
      </c>
      <c r="P9" s="29">
        <f t="shared" si="1"/>
        <v>2320</v>
      </c>
      <c r="Q9" s="29">
        <f t="shared" si="1"/>
        <v>2370</v>
      </c>
      <c r="R9" s="29">
        <f t="shared" si="1"/>
        <v>2370</v>
      </c>
      <c r="S9" s="29">
        <f t="shared" si="1"/>
        <v>2370</v>
      </c>
      <c r="T9" s="29">
        <f t="shared" si="1"/>
        <v>2370</v>
      </c>
      <c r="U9" s="29">
        <f t="shared" si="1"/>
        <v>2370</v>
      </c>
      <c r="V9" s="29">
        <f t="shared" si="1"/>
        <v>2370</v>
      </c>
      <c r="W9" s="29">
        <f t="shared" si="1"/>
        <v>2370</v>
      </c>
      <c r="X9" s="29">
        <f>W9+X5+X8</f>
        <v>2370</v>
      </c>
    </row>
    <row r="10" spans="1:24" x14ac:dyDescent="0.2">
      <c r="B10" s="28"/>
      <c r="D10" s="80"/>
      <c r="E10" s="258"/>
      <c r="F10" s="258"/>
      <c r="G10" s="258"/>
      <c r="H10" s="258"/>
      <c r="I10" s="258"/>
      <c r="J10" s="258"/>
      <c r="K10" s="258"/>
      <c r="L10" s="258"/>
      <c r="M10" s="258"/>
      <c r="N10" s="258"/>
      <c r="O10" s="258"/>
      <c r="P10" s="258"/>
      <c r="Q10" s="258"/>
      <c r="R10" s="258"/>
      <c r="S10" s="258"/>
      <c r="T10" s="258"/>
      <c r="U10" s="258"/>
      <c r="V10" s="258"/>
      <c r="W10" s="258"/>
      <c r="X10" s="258"/>
    </row>
    <row r="11" spans="1:24" x14ac:dyDescent="0.2">
      <c r="D11" s="80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</row>
    <row r="12" spans="1:24" x14ac:dyDescent="0.2">
      <c r="A12" s="25" t="s">
        <v>338</v>
      </c>
      <c r="D12" s="80"/>
      <c r="E12" s="49"/>
      <c r="F12" s="49" t="s">
        <v>73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</row>
    <row r="13" spans="1:24" x14ac:dyDescent="0.2">
      <c r="A13" s="25"/>
      <c r="B13" s="92" t="s">
        <v>234</v>
      </c>
      <c r="D13" s="80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</row>
    <row r="14" spans="1:24" x14ac:dyDescent="0.2">
      <c r="A14" s="25"/>
      <c r="C14" s="1" t="s">
        <v>201</v>
      </c>
      <c r="D14" s="80" t="s">
        <v>123</v>
      </c>
      <c r="E14" s="78">
        <v>0.25</v>
      </c>
      <c r="F14" s="93">
        <f>E14</f>
        <v>0.25</v>
      </c>
      <c r="G14" s="93">
        <f>F14</f>
        <v>0.25</v>
      </c>
      <c r="H14" s="93">
        <f>G14</f>
        <v>0.25</v>
      </c>
      <c r="I14" s="93">
        <f t="shared" ref="I14:X14" si="2">H14</f>
        <v>0.25</v>
      </c>
      <c r="J14" s="93">
        <f t="shared" si="2"/>
        <v>0.25</v>
      </c>
      <c r="K14" s="93">
        <f t="shared" si="2"/>
        <v>0.25</v>
      </c>
      <c r="L14" s="93">
        <f t="shared" si="2"/>
        <v>0.25</v>
      </c>
      <c r="M14" s="93">
        <f t="shared" si="2"/>
        <v>0.25</v>
      </c>
      <c r="N14" s="93">
        <f t="shared" si="2"/>
        <v>0.25</v>
      </c>
      <c r="O14" s="93">
        <f t="shared" si="2"/>
        <v>0.25</v>
      </c>
      <c r="P14" s="93">
        <f t="shared" si="2"/>
        <v>0.25</v>
      </c>
      <c r="Q14" s="93">
        <f t="shared" si="2"/>
        <v>0.25</v>
      </c>
      <c r="R14" s="93">
        <f t="shared" si="2"/>
        <v>0.25</v>
      </c>
      <c r="S14" s="93">
        <f t="shared" si="2"/>
        <v>0.25</v>
      </c>
      <c r="T14" s="93">
        <f t="shared" si="2"/>
        <v>0.25</v>
      </c>
      <c r="U14" s="93">
        <f t="shared" si="2"/>
        <v>0.25</v>
      </c>
      <c r="V14" s="93">
        <f t="shared" si="2"/>
        <v>0.25</v>
      </c>
      <c r="W14" s="93">
        <f t="shared" si="2"/>
        <v>0.25</v>
      </c>
      <c r="X14" s="93">
        <f t="shared" si="2"/>
        <v>0.25</v>
      </c>
    </row>
    <row r="15" spans="1:24" x14ac:dyDescent="0.2">
      <c r="A15" s="25"/>
      <c r="C15" s="1" t="s">
        <v>346</v>
      </c>
      <c r="D15" s="80" t="s">
        <v>123</v>
      </c>
      <c r="E15" s="93">
        <f>POWER(1+E14,90/360)-1</f>
        <v>5.7371263440564091E-2</v>
      </c>
      <c r="F15" s="93">
        <f t="shared" ref="F15:X15" si="3">POWER(1+F14,90/360)-1</f>
        <v>5.7371263440564091E-2</v>
      </c>
      <c r="G15" s="93">
        <f t="shared" si="3"/>
        <v>5.7371263440564091E-2</v>
      </c>
      <c r="H15" s="93">
        <f t="shared" si="3"/>
        <v>5.7371263440564091E-2</v>
      </c>
      <c r="I15" s="93">
        <f t="shared" si="3"/>
        <v>5.7371263440564091E-2</v>
      </c>
      <c r="J15" s="93">
        <f t="shared" si="3"/>
        <v>5.7371263440564091E-2</v>
      </c>
      <c r="K15" s="93">
        <f t="shared" si="3"/>
        <v>5.7371263440564091E-2</v>
      </c>
      <c r="L15" s="93">
        <f t="shared" si="3"/>
        <v>5.7371263440564091E-2</v>
      </c>
      <c r="M15" s="93">
        <f t="shared" si="3"/>
        <v>5.7371263440564091E-2</v>
      </c>
      <c r="N15" s="93">
        <f t="shared" si="3"/>
        <v>5.7371263440564091E-2</v>
      </c>
      <c r="O15" s="93">
        <f t="shared" si="3"/>
        <v>5.7371263440564091E-2</v>
      </c>
      <c r="P15" s="93">
        <f t="shared" si="3"/>
        <v>5.7371263440564091E-2</v>
      </c>
      <c r="Q15" s="93">
        <f t="shared" si="3"/>
        <v>5.7371263440564091E-2</v>
      </c>
      <c r="R15" s="93">
        <f t="shared" si="3"/>
        <v>5.7371263440564091E-2</v>
      </c>
      <c r="S15" s="93">
        <f t="shared" si="3"/>
        <v>5.7371263440564091E-2</v>
      </c>
      <c r="T15" s="93">
        <f t="shared" si="3"/>
        <v>5.7371263440564091E-2</v>
      </c>
      <c r="U15" s="93">
        <f t="shared" si="3"/>
        <v>5.7371263440564091E-2</v>
      </c>
      <c r="V15" s="93">
        <f t="shared" si="3"/>
        <v>5.7371263440564091E-2</v>
      </c>
      <c r="W15" s="93">
        <f t="shared" si="3"/>
        <v>5.7371263440564091E-2</v>
      </c>
      <c r="X15" s="93">
        <f t="shared" si="3"/>
        <v>5.7371263440564091E-2</v>
      </c>
    </row>
    <row r="16" spans="1:24" x14ac:dyDescent="0.2">
      <c r="C16" s="1" t="s">
        <v>202</v>
      </c>
      <c r="D16" s="80" t="s">
        <v>117</v>
      </c>
      <c r="E16" s="30">
        <v>17500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</row>
    <row r="17" spans="2:24" x14ac:dyDescent="0.2">
      <c r="C17" s="1" t="s">
        <v>344</v>
      </c>
      <c r="D17" s="80" t="s">
        <v>117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-17500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</row>
    <row r="18" spans="2:24" s="95" customFormat="1" hidden="1" x14ac:dyDescent="0.2">
      <c r="C18" s="95" t="s">
        <v>310</v>
      </c>
      <c r="D18" s="143" t="s">
        <v>117</v>
      </c>
      <c r="E18" s="144">
        <f>SUM(E16:E17)</f>
        <v>17500</v>
      </c>
      <c r="F18" s="144">
        <f t="shared" ref="F18:X18" si="4">SUM(F16:F17)</f>
        <v>0</v>
      </c>
      <c r="G18" s="144">
        <f t="shared" si="4"/>
        <v>0</v>
      </c>
      <c r="H18" s="144">
        <f t="shared" si="4"/>
        <v>0</v>
      </c>
      <c r="I18" s="144">
        <f t="shared" si="4"/>
        <v>0</v>
      </c>
      <c r="J18" s="144">
        <f t="shared" si="4"/>
        <v>0</v>
      </c>
      <c r="K18" s="144">
        <f t="shared" si="4"/>
        <v>-17500</v>
      </c>
      <c r="L18" s="144">
        <f t="shared" si="4"/>
        <v>0</v>
      </c>
      <c r="M18" s="144">
        <f t="shared" si="4"/>
        <v>0</v>
      </c>
      <c r="N18" s="144">
        <f t="shared" si="4"/>
        <v>0</v>
      </c>
      <c r="O18" s="144">
        <f t="shared" si="4"/>
        <v>0</v>
      </c>
      <c r="P18" s="144">
        <f t="shared" si="4"/>
        <v>0</v>
      </c>
      <c r="Q18" s="144">
        <f t="shared" si="4"/>
        <v>0</v>
      </c>
      <c r="R18" s="144">
        <f t="shared" si="4"/>
        <v>0</v>
      </c>
      <c r="S18" s="144">
        <f t="shared" si="4"/>
        <v>0</v>
      </c>
      <c r="T18" s="144">
        <f t="shared" si="4"/>
        <v>0</v>
      </c>
      <c r="U18" s="144">
        <f t="shared" si="4"/>
        <v>0</v>
      </c>
      <c r="V18" s="144">
        <f t="shared" si="4"/>
        <v>0</v>
      </c>
      <c r="W18" s="144">
        <f t="shared" si="4"/>
        <v>0</v>
      </c>
      <c r="X18" s="144">
        <f t="shared" si="4"/>
        <v>0</v>
      </c>
    </row>
    <row r="19" spans="2:24" x14ac:dyDescent="0.2">
      <c r="C19" s="1" t="s">
        <v>345</v>
      </c>
      <c r="D19" s="80" t="s">
        <v>117</v>
      </c>
      <c r="E19" s="15">
        <f>E18</f>
        <v>17500</v>
      </c>
      <c r="F19" s="15">
        <f>F18+E19</f>
        <v>17500</v>
      </c>
      <c r="G19" s="15">
        <f t="shared" ref="G19:X19" si="5">G18+F19</f>
        <v>17500</v>
      </c>
      <c r="H19" s="15">
        <f t="shared" si="5"/>
        <v>17500</v>
      </c>
      <c r="I19" s="15">
        <f t="shared" si="5"/>
        <v>17500</v>
      </c>
      <c r="J19" s="15">
        <f t="shared" si="5"/>
        <v>17500</v>
      </c>
      <c r="K19" s="15">
        <f t="shared" si="5"/>
        <v>0</v>
      </c>
      <c r="L19" s="15">
        <f t="shared" si="5"/>
        <v>0</v>
      </c>
      <c r="M19" s="15">
        <f t="shared" si="5"/>
        <v>0</v>
      </c>
      <c r="N19" s="15">
        <f t="shared" si="5"/>
        <v>0</v>
      </c>
      <c r="O19" s="15">
        <f t="shared" si="5"/>
        <v>0</v>
      </c>
      <c r="P19" s="15">
        <f t="shared" si="5"/>
        <v>0</v>
      </c>
      <c r="Q19" s="15">
        <f t="shared" si="5"/>
        <v>0</v>
      </c>
      <c r="R19" s="15">
        <f t="shared" si="5"/>
        <v>0</v>
      </c>
      <c r="S19" s="15">
        <f t="shared" si="5"/>
        <v>0</v>
      </c>
      <c r="T19" s="15">
        <f t="shared" si="5"/>
        <v>0</v>
      </c>
      <c r="U19" s="15">
        <f t="shared" si="5"/>
        <v>0</v>
      </c>
      <c r="V19" s="15">
        <f t="shared" si="5"/>
        <v>0</v>
      </c>
      <c r="W19" s="15">
        <f t="shared" si="5"/>
        <v>0</v>
      </c>
      <c r="X19" s="15">
        <f t="shared" si="5"/>
        <v>0</v>
      </c>
    </row>
    <row r="20" spans="2:24" x14ac:dyDescent="0.2">
      <c r="C20" s="1" t="s">
        <v>347</v>
      </c>
      <c r="D20" s="80" t="s">
        <v>117</v>
      </c>
      <c r="E20" s="75">
        <f>E19*E15</f>
        <v>1003.9971102098716</v>
      </c>
      <c r="F20" s="75">
        <f t="shared" ref="F20:X20" si="6">(F19+E23)*F15</f>
        <v>1061.5976929132871</v>
      </c>
      <c r="G20" s="75">
        <f t="shared" si="6"/>
        <v>1122.5028938213106</v>
      </c>
      <c r="H20" s="75">
        <f t="shared" si="6"/>
        <v>1186.9023030555284</v>
      </c>
      <c r="I20" s="75">
        <f t="shared" si="6"/>
        <v>1254.9963877623393</v>
      </c>
      <c r="J20" s="75">
        <f t="shared" si="6"/>
        <v>1326.9971161416088</v>
      </c>
      <c r="K20" s="75">
        <f t="shared" si="6"/>
        <v>399.13150706676629</v>
      </c>
      <c r="L20" s="75">
        <f t="shared" si="6"/>
        <v>422.03018590612311</v>
      </c>
      <c r="M20" s="75">
        <f t="shared" si="6"/>
        <v>-2.5704117820802429E-3</v>
      </c>
      <c r="N20" s="75">
        <f t="shared" si="6"/>
        <v>-2.7178795535806985E-3</v>
      </c>
      <c r="O20" s="75">
        <f t="shared" si="6"/>
        <v>-2.8738077374488996E-3</v>
      </c>
      <c r="P20" s="75">
        <f t="shared" si="6"/>
        <v>-3.0386817182316119E-3</v>
      </c>
      <c r="Q20" s="75">
        <f t="shared" si="6"/>
        <v>-3.2130147276003035E-3</v>
      </c>
      <c r="R20" s="75">
        <f t="shared" si="6"/>
        <v>-1514.6678605701184</v>
      </c>
      <c r="S20" s="75">
        <f t="shared" si="6"/>
        <v>-1601.5662694238424</v>
      </c>
      <c r="T20" s="75">
        <f t="shared" si="6"/>
        <v>-1693.450149784479</v>
      </c>
      <c r="U20" s="75">
        <f t="shared" si="6"/>
        <v>-1790.605524451227</v>
      </c>
      <c r="V20" s="75">
        <f t="shared" si="6"/>
        <v>-1893.3348257126479</v>
      </c>
      <c r="W20" s="75">
        <f t="shared" si="6"/>
        <v>-2001.9578367798028</v>
      </c>
      <c r="X20" s="75">
        <f t="shared" si="6"/>
        <v>-2116.8126872305988</v>
      </c>
    </row>
    <row r="21" spans="2:24" x14ac:dyDescent="0.2">
      <c r="C21" s="1" t="s">
        <v>348</v>
      </c>
      <c r="D21" s="80" t="s">
        <v>117</v>
      </c>
      <c r="E21" s="318">
        <v>0</v>
      </c>
      <c r="F21" s="318">
        <v>0</v>
      </c>
      <c r="G21" s="318">
        <v>0</v>
      </c>
      <c r="H21" s="318">
        <v>0</v>
      </c>
      <c r="I21" s="318">
        <v>0</v>
      </c>
      <c r="J21" s="318">
        <v>0</v>
      </c>
      <c r="K21" s="318">
        <v>0</v>
      </c>
      <c r="L21" s="318">
        <v>7778.2</v>
      </c>
      <c r="M21" s="318">
        <v>0</v>
      </c>
      <c r="N21" s="318">
        <v>0</v>
      </c>
      <c r="O21" s="318">
        <v>0</v>
      </c>
      <c r="P21" s="318">
        <v>0</v>
      </c>
      <c r="Q21" s="318">
        <v>26401.1</v>
      </c>
      <c r="R21" s="318">
        <v>0</v>
      </c>
      <c r="S21" s="318">
        <v>0</v>
      </c>
      <c r="T21" s="318">
        <v>0</v>
      </c>
      <c r="U21" s="318">
        <v>0</v>
      </c>
      <c r="V21" s="318">
        <v>0</v>
      </c>
      <c r="W21" s="318">
        <v>0</v>
      </c>
      <c r="X21" s="318">
        <v>0</v>
      </c>
    </row>
    <row r="22" spans="2:24" x14ac:dyDescent="0.2">
      <c r="C22" s="1" t="s">
        <v>349</v>
      </c>
      <c r="D22" s="80" t="s">
        <v>117</v>
      </c>
      <c r="E22" s="148">
        <f>E20-E21</f>
        <v>1003.9971102098716</v>
      </c>
      <c r="F22" s="148">
        <f t="shared" ref="F22:X22" si="7">F20-F21</f>
        <v>1061.5976929132871</v>
      </c>
      <c r="G22" s="148">
        <f t="shared" si="7"/>
        <v>1122.5028938213106</v>
      </c>
      <c r="H22" s="148">
        <f t="shared" si="7"/>
        <v>1186.9023030555284</v>
      </c>
      <c r="I22" s="148">
        <f t="shared" si="7"/>
        <v>1254.9963877623393</v>
      </c>
      <c r="J22" s="148">
        <f t="shared" si="7"/>
        <v>1326.9971161416088</v>
      </c>
      <c r="K22" s="148">
        <f t="shared" si="7"/>
        <v>399.13150706676629</v>
      </c>
      <c r="L22" s="148">
        <f t="shared" si="7"/>
        <v>-7356.169814093877</v>
      </c>
      <c r="M22" s="148">
        <f t="shared" si="7"/>
        <v>-2.5704117820802429E-3</v>
      </c>
      <c r="N22" s="148">
        <f t="shared" si="7"/>
        <v>-2.7178795535806985E-3</v>
      </c>
      <c r="O22" s="148">
        <f t="shared" si="7"/>
        <v>-2.8738077374488996E-3</v>
      </c>
      <c r="P22" s="148">
        <f t="shared" si="7"/>
        <v>-3.0386817182316119E-3</v>
      </c>
      <c r="Q22" s="148">
        <f t="shared" si="7"/>
        <v>-26401.103213014725</v>
      </c>
      <c r="R22" s="148">
        <f t="shared" si="7"/>
        <v>-1514.6678605701184</v>
      </c>
      <c r="S22" s="148">
        <f t="shared" si="7"/>
        <v>-1601.5662694238424</v>
      </c>
      <c r="T22" s="148">
        <f t="shared" si="7"/>
        <v>-1693.450149784479</v>
      </c>
      <c r="U22" s="148">
        <f t="shared" si="7"/>
        <v>-1790.605524451227</v>
      </c>
      <c r="V22" s="148">
        <f t="shared" si="7"/>
        <v>-1893.3348257126479</v>
      </c>
      <c r="W22" s="148">
        <f t="shared" si="7"/>
        <v>-2001.9578367798028</v>
      </c>
      <c r="X22" s="148">
        <f t="shared" si="7"/>
        <v>-2116.8126872305988</v>
      </c>
    </row>
    <row r="23" spans="2:24" x14ac:dyDescent="0.2">
      <c r="C23" s="1" t="s">
        <v>400</v>
      </c>
      <c r="D23" s="80" t="s">
        <v>117</v>
      </c>
      <c r="E23" s="148">
        <f>E22</f>
        <v>1003.9971102098716</v>
      </c>
      <c r="F23" s="148">
        <f>E23+F22</f>
        <v>2065.5948031231587</v>
      </c>
      <c r="G23" s="148">
        <f t="shared" ref="G23:X23" si="8">F23+G22</f>
        <v>3188.0976969444691</v>
      </c>
      <c r="H23" s="148">
        <f t="shared" si="8"/>
        <v>4374.9999999999973</v>
      </c>
      <c r="I23" s="148">
        <f t="shared" si="8"/>
        <v>5629.9963877623368</v>
      </c>
      <c r="J23" s="148">
        <f t="shared" si="8"/>
        <v>6956.9935039039456</v>
      </c>
      <c r="K23" s="148">
        <f t="shared" si="8"/>
        <v>7356.1250109707116</v>
      </c>
      <c r="L23" s="148">
        <f t="shared" si="8"/>
        <v>-4.4803123165365832E-2</v>
      </c>
      <c r="M23" s="148">
        <f t="shared" si="8"/>
        <v>-4.7373534947446075E-2</v>
      </c>
      <c r="N23" s="148">
        <f t="shared" si="8"/>
        <v>-5.0091414501026776E-2</v>
      </c>
      <c r="O23" s="148">
        <f t="shared" si="8"/>
        <v>-5.2965222238475676E-2</v>
      </c>
      <c r="P23" s="148">
        <f>O23+P22</f>
        <v>-5.600390395670729E-2</v>
      </c>
      <c r="Q23" s="148">
        <f>P23+Q22</f>
        <v>-26401.159216918681</v>
      </c>
      <c r="R23" s="148">
        <f t="shared" si="8"/>
        <v>-27915.827077488801</v>
      </c>
      <c r="S23" s="148">
        <f t="shared" si="8"/>
        <v>-29517.393346912642</v>
      </c>
      <c r="T23" s="148">
        <f t="shared" si="8"/>
        <v>-31210.843496697122</v>
      </c>
      <c r="U23" s="148">
        <f t="shared" si="8"/>
        <v>-33001.44902114835</v>
      </c>
      <c r="V23" s="148">
        <f t="shared" si="8"/>
        <v>-34894.783846860999</v>
      </c>
      <c r="W23" s="148">
        <f t="shared" si="8"/>
        <v>-36896.741683640801</v>
      </c>
      <c r="X23" s="148">
        <f t="shared" si="8"/>
        <v>-39013.554370871403</v>
      </c>
    </row>
    <row r="24" spans="2:24" x14ac:dyDescent="0.2">
      <c r="C24" s="27" t="s">
        <v>236</v>
      </c>
      <c r="D24" s="80" t="s">
        <v>117</v>
      </c>
      <c r="E24" s="17">
        <f t="shared" ref="E24:X24" si="9">E19+E23</f>
        <v>18503.997110209872</v>
      </c>
      <c r="F24" s="17">
        <f t="shared" si="9"/>
        <v>19565.59480312316</v>
      </c>
      <c r="G24" s="17">
        <f t="shared" si="9"/>
        <v>20688.097696944467</v>
      </c>
      <c r="H24" s="17">
        <f t="shared" si="9"/>
        <v>21874.999999999996</v>
      </c>
      <c r="I24" s="17">
        <f t="shared" si="9"/>
        <v>23129.996387762338</v>
      </c>
      <c r="J24" s="17">
        <f t="shared" si="9"/>
        <v>24456.993503903945</v>
      </c>
      <c r="K24" s="17">
        <f t="shared" si="9"/>
        <v>7356.1250109707116</v>
      </c>
      <c r="L24" s="17">
        <f t="shared" si="9"/>
        <v>-4.4803123165365832E-2</v>
      </c>
      <c r="M24" s="17">
        <f t="shared" si="9"/>
        <v>-4.7373534947446075E-2</v>
      </c>
      <c r="N24" s="17">
        <f t="shared" si="9"/>
        <v>-5.0091414501026776E-2</v>
      </c>
      <c r="O24" s="17">
        <f t="shared" si="9"/>
        <v>-5.2965222238475676E-2</v>
      </c>
      <c r="P24" s="17">
        <f t="shared" si="9"/>
        <v>-5.600390395670729E-2</v>
      </c>
      <c r="Q24" s="17">
        <f>Q19+Q23</f>
        <v>-26401.159216918681</v>
      </c>
      <c r="R24" s="17">
        <f t="shared" si="9"/>
        <v>-27915.827077488801</v>
      </c>
      <c r="S24" s="17">
        <f t="shared" si="9"/>
        <v>-29517.393346912642</v>
      </c>
      <c r="T24" s="17">
        <f t="shared" si="9"/>
        <v>-31210.843496697122</v>
      </c>
      <c r="U24" s="17">
        <f t="shared" si="9"/>
        <v>-33001.44902114835</v>
      </c>
      <c r="V24" s="17">
        <f t="shared" si="9"/>
        <v>-34894.783846860999</v>
      </c>
      <c r="W24" s="17">
        <f t="shared" si="9"/>
        <v>-36896.741683640801</v>
      </c>
      <c r="X24" s="17">
        <f t="shared" si="9"/>
        <v>-39013.554370871403</v>
      </c>
    </row>
    <row r="25" spans="2:24" x14ac:dyDescent="0.2">
      <c r="B25" s="92" t="s">
        <v>235</v>
      </c>
      <c r="C25" s="28"/>
      <c r="D25" s="80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2:24" x14ac:dyDescent="0.2">
      <c r="C26" s="1" t="s">
        <v>201</v>
      </c>
      <c r="D26" s="80" t="s">
        <v>123</v>
      </c>
      <c r="E26" s="78">
        <v>0</v>
      </c>
      <c r="F26" s="93">
        <f>E26</f>
        <v>0</v>
      </c>
      <c r="G26" s="93">
        <f t="shared" ref="G26:W26" si="10">F26</f>
        <v>0</v>
      </c>
      <c r="H26" s="93">
        <f t="shared" si="10"/>
        <v>0</v>
      </c>
      <c r="I26" s="93">
        <f t="shared" si="10"/>
        <v>0</v>
      </c>
      <c r="J26" s="93">
        <f t="shared" si="10"/>
        <v>0</v>
      </c>
      <c r="K26" s="93">
        <f t="shared" si="10"/>
        <v>0</v>
      </c>
      <c r="L26" s="93">
        <f t="shared" si="10"/>
        <v>0</v>
      </c>
      <c r="M26" s="93">
        <f t="shared" si="10"/>
        <v>0</v>
      </c>
      <c r="N26" s="93">
        <f t="shared" si="10"/>
        <v>0</v>
      </c>
      <c r="O26" s="93">
        <f t="shared" si="10"/>
        <v>0</v>
      </c>
      <c r="P26" s="93">
        <f t="shared" si="10"/>
        <v>0</v>
      </c>
      <c r="Q26" s="93">
        <f t="shared" si="10"/>
        <v>0</v>
      </c>
      <c r="R26" s="93">
        <f t="shared" si="10"/>
        <v>0</v>
      </c>
      <c r="S26" s="93">
        <f t="shared" si="10"/>
        <v>0</v>
      </c>
      <c r="T26" s="93">
        <f t="shared" si="10"/>
        <v>0</v>
      </c>
      <c r="U26" s="93">
        <f t="shared" si="10"/>
        <v>0</v>
      </c>
      <c r="V26" s="93">
        <f t="shared" si="10"/>
        <v>0</v>
      </c>
      <c r="W26" s="93">
        <f t="shared" si="10"/>
        <v>0</v>
      </c>
      <c r="X26" s="93">
        <f>W26</f>
        <v>0</v>
      </c>
    </row>
    <row r="27" spans="2:24" x14ac:dyDescent="0.2">
      <c r="C27" s="1" t="s">
        <v>346</v>
      </c>
      <c r="D27" s="80" t="s">
        <v>123</v>
      </c>
      <c r="E27" s="93">
        <f>POWER(1+E26,90/360)-1</f>
        <v>0</v>
      </c>
      <c r="F27" s="93">
        <f t="shared" ref="F27:X27" si="11">POWER(1+F26,90/360)-1</f>
        <v>0</v>
      </c>
      <c r="G27" s="93">
        <f t="shared" si="11"/>
        <v>0</v>
      </c>
      <c r="H27" s="93">
        <f t="shared" si="11"/>
        <v>0</v>
      </c>
      <c r="I27" s="93">
        <f t="shared" si="11"/>
        <v>0</v>
      </c>
      <c r="J27" s="93">
        <f t="shared" si="11"/>
        <v>0</v>
      </c>
      <c r="K27" s="93">
        <f t="shared" si="11"/>
        <v>0</v>
      </c>
      <c r="L27" s="93">
        <f t="shared" si="11"/>
        <v>0</v>
      </c>
      <c r="M27" s="93">
        <f t="shared" si="11"/>
        <v>0</v>
      </c>
      <c r="N27" s="93">
        <f t="shared" si="11"/>
        <v>0</v>
      </c>
      <c r="O27" s="93">
        <f t="shared" si="11"/>
        <v>0</v>
      </c>
      <c r="P27" s="93">
        <f t="shared" si="11"/>
        <v>0</v>
      </c>
      <c r="Q27" s="93">
        <f t="shared" si="11"/>
        <v>0</v>
      </c>
      <c r="R27" s="93">
        <f t="shared" si="11"/>
        <v>0</v>
      </c>
      <c r="S27" s="93">
        <f t="shared" si="11"/>
        <v>0</v>
      </c>
      <c r="T27" s="93">
        <f t="shared" si="11"/>
        <v>0</v>
      </c>
      <c r="U27" s="93">
        <f t="shared" si="11"/>
        <v>0</v>
      </c>
      <c r="V27" s="93">
        <f t="shared" si="11"/>
        <v>0</v>
      </c>
      <c r="W27" s="93">
        <f t="shared" si="11"/>
        <v>0</v>
      </c>
      <c r="X27" s="93">
        <f t="shared" si="11"/>
        <v>0</v>
      </c>
    </row>
    <row r="28" spans="2:24" x14ac:dyDescent="0.2">
      <c r="C28" s="1" t="s">
        <v>202</v>
      </c>
      <c r="D28" s="80" t="s">
        <v>117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</row>
    <row r="29" spans="2:24" x14ac:dyDescent="0.2">
      <c r="C29" s="1" t="s">
        <v>344</v>
      </c>
      <c r="D29" s="80" t="s">
        <v>117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</row>
    <row r="30" spans="2:24" x14ac:dyDescent="0.2">
      <c r="C30" s="95" t="s">
        <v>310</v>
      </c>
      <c r="D30" s="143" t="s">
        <v>117</v>
      </c>
      <c r="E30" s="144">
        <f>SUM(E28:E29)</f>
        <v>0</v>
      </c>
      <c r="F30" s="144">
        <f t="shared" ref="F30:X30" si="12">SUM(F28:F29)</f>
        <v>0</v>
      </c>
      <c r="G30" s="144">
        <f t="shared" si="12"/>
        <v>0</v>
      </c>
      <c r="H30" s="144">
        <f t="shared" si="12"/>
        <v>0</v>
      </c>
      <c r="I30" s="144">
        <f t="shared" si="12"/>
        <v>0</v>
      </c>
      <c r="J30" s="144">
        <f t="shared" si="12"/>
        <v>0</v>
      </c>
      <c r="K30" s="144">
        <f t="shared" si="12"/>
        <v>0</v>
      </c>
      <c r="L30" s="144">
        <f t="shared" si="12"/>
        <v>0</v>
      </c>
      <c r="M30" s="144">
        <f t="shared" si="12"/>
        <v>0</v>
      </c>
      <c r="N30" s="144">
        <f t="shared" si="12"/>
        <v>0</v>
      </c>
      <c r="O30" s="144">
        <f t="shared" si="12"/>
        <v>0</v>
      </c>
      <c r="P30" s="144">
        <f t="shared" si="12"/>
        <v>0</v>
      </c>
      <c r="Q30" s="144">
        <f t="shared" si="12"/>
        <v>0</v>
      </c>
      <c r="R30" s="144">
        <f t="shared" si="12"/>
        <v>0</v>
      </c>
      <c r="S30" s="144">
        <f t="shared" si="12"/>
        <v>0</v>
      </c>
      <c r="T30" s="144">
        <f t="shared" si="12"/>
        <v>0</v>
      </c>
      <c r="U30" s="144">
        <f t="shared" si="12"/>
        <v>0</v>
      </c>
      <c r="V30" s="144">
        <f t="shared" si="12"/>
        <v>0</v>
      </c>
      <c r="W30" s="144">
        <f t="shared" si="12"/>
        <v>0</v>
      </c>
      <c r="X30" s="144">
        <f t="shared" si="12"/>
        <v>0</v>
      </c>
    </row>
    <row r="31" spans="2:24" x14ac:dyDescent="0.2">
      <c r="C31" s="1" t="s">
        <v>345</v>
      </c>
      <c r="D31" s="80" t="s">
        <v>117</v>
      </c>
      <c r="E31" s="15">
        <f>E30</f>
        <v>0</v>
      </c>
      <c r="F31" s="15">
        <f>E31+F30</f>
        <v>0</v>
      </c>
      <c r="G31" s="15">
        <f t="shared" ref="G31:W31" si="13">F31+G30</f>
        <v>0</v>
      </c>
      <c r="H31" s="15">
        <f t="shared" si="13"/>
        <v>0</v>
      </c>
      <c r="I31" s="15">
        <f t="shared" si="13"/>
        <v>0</v>
      </c>
      <c r="J31" s="15">
        <f t="shared" si="13"/>
        <v>0</v>
      </c>
      <c r="K31" s="15">
        <f t="shared" si="13"/>
        <v>0</v>
      </c>
      <c r="L31" s="15">
        <f t="shared" si="13"/>
        <v>0</v>
      </c>
      <c r="M31" s="15">
        <f t="shared" si="13"/>
        <v>0</v>
      </c>
      <c r="N31" s="15">
        <f t="shared" si="13"/>
        <v>0</v>
      </c>
      <c r="O31" s="15">
        <f t="shared" si="13"/>
        <v>0</v>
      </c>
      <c r="P31" s="15">
        <f t="shared" si="13"/>
        <v>0</v>
      </c>
      <c r="Q31" s="15">
        <f t="shared" si="13"/>
        <v>0</v>
      </c>
      <c r="R31" s="15">
        <f t="shared" si="13"/>
        <v>0</v>
      </c>
      <c r="S31" s="15">
        <f t="shared" si="13"/>
        <v>0</v>
      </c>
      <c r="T31" s="15">
        <f t="shared" si="13"/>
        <v>0</v>
      </c>
      <c r="U31" s="15">
        <f t="shared" si="13"/>
        <v>0</v>
      </c>
      <c r="V31" s="15">
        <f t="shared" si="13"/>
        <v>0</v>
      </c>
      <c r="W31" s="15">
        <f t="shared" si="13"/>
        <v>0</v>
      </c>
      <c r="X31" s="15">
        <f>W31+X30</f>
        <v>0</v>
      </c>
    </row>
    <row r="32" spans="2:24" x14ac:dyDescent="0.2">
      <c r="C32" s="1" t="s">
        <v>347</v>
      </c>
      <c r="D32" s="80" t="s">
        <v>117</v>
      </c>
      <c r="E32" s="148">
        <f>E31*E27</f>
        <v>0</v>
      </c>
      <c r="F32" s="148">
        <f>(F31+E35)*F27</f>
        <v>0</v>
      </c>
      <c r="G32" s="148">
        <f t="shared" ref="G32:X32" si="14">(G31+F35)*G27</f>
        <v>0</v>
      </c>
      <c r="H32" s="148">
        <f t="shared" si="14"/>
        <v>0</v>
      </c>
      <c r="I32" s="148">
        <f t="shared" si="14"/>
        <v>0</v>
      </c>
      <c r="J32" s="148">
        <f t="shared" si="14"/>
        <v>0</v>
      </c>
      <c r="K32" s="148">
        <f t="shared" si="14"/>
        <v>0</v>
      </c>
      <c r="L32" s="148">
        <f t="shared" si="14"/>
        <v>0</v>
      </c>
      <c r="M32" s="148">
        <f t="shared" si="14"/>
        <v>0</v>
      </c>
      <c r="N32" s="148">
        <f t="shared" si="14"/>
        <v>0</v>
      </c>
      <c r="O32" s="148">
        <f t="shared" si="14"/>
        <v>0</v>
      </c>
      <c r="P32" s="148">
        <f t="shared" si="14"/>
        <v>0</v>
      </c>
      <c r="Q32" s="148">
        <f t="shared" si="14"/>
        <v>0</v>
      </c>
      <c r="R32" s="148">
        <f t="shared" si="14"/>
        <v>0</v>
      </c>
      <c r="S32" s="148">
        <f t="shared" si="14"/>
        <v>0</v>
      </c>
      <c r="T32" s="148">
        <f t="shared" si="14"/>
        <v>0</v>
      </c>
      <c r="U32" s="148">
        <f t="shared" si="14"/>
        <v>0</v>
      </c>
      <c r="V32" s="148">
        <f t="shared" si="14"/>
        <v>0</v>
      </c>
      <c r="W32" s="148">
        <f t="shared" si="14"/>
        <v>0</v>
      </c>
      <c r="X32" s="148">
        <f t="shared" si="14"/>
        <v>0</v>
      </c>
    </row>
    <row r="33" spans="1:24" x14ac:dyDescent="0.2">
      <c r="C33" s="1" t="s">
        <v>348</v>
      </c>
      <c r="D33" s="80" t="s">
        <v>117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</row>
    <row r="34" spans="1:24" x14ac:dyDescent="0.2">
      <c r="C34" s="1" t="s">
        <v>349</v>
      </c>
      <c r="D34" s="80" t="s">
        <v>117</v>
      </c>
      <c r="E34" s="148">
        <f>SUM(E32:E33)</f>
        <v>0</v>
      </c>
      <c r="F34" s="148">
        <f t="shared" ref="F34:X34" si="15">SUM(F32:F33)</f>
        <v>0</v>
      </c>
      <c r="G34" s="148">
        <f t="shared" si="15"/>
        <v>0</v>
      </c>
      <c r="H34" s="148">
        <f t="shared" si="15"/>
        <v>0</v>
      </c>
      <c r="I34" s="148">
        <f t="shared" si="15"/>
        <v>0</v>
      </c>
      <c r="J34" s="148">
        <f t="shared" si="15"/>
        <v>0</v>
      </c>
      <c r="K34" s="148">
        <f t="shared" si="15"/>
        <v>0</v>
      </c>
      <c r="L34" s="148">
        <f t="shared" si="15"/>
        <v>0</v>
      </c>
      <c r="M34" s="148">
        <f t="shared" si="15"/>
        <v>0</v>
      </c>
      <c r="N34" s="148">
        <f t="shared" si="15"/>
        <v>0</v>
      </c>
      <c r="O34" s="148">
        <f t="shared" si="15"/>
        <v>0</v>
      </c>
      <c r="P34" s="148">
        <f t="shared" si="15"/>
        <v>0</v>
      </c>
      <c r="Q34" s="148">
        <f t="shared" si="15"/>
        <v>0</v>
      </c>
      <c r="R34" s="148">
        <f t="shared" si="15"/>
        <v>0</v>
      </c>
      <c r="S34" s="148">
        <f t="shared" si="15"/>
        <v>0</v>
      </c>
      <c r="T34" s="148">
        <f t="shared" si="15"/>
        <v>0</v>
      </c>
      <c r="U34" s="148">
        <f t="shared" si="15"/>
        <v>0</v>
      </c>
      <c r="V34" s="148">
        <f t="shared" si="15"/>
        <v>0</v>
      </c>
      <c r="W34" s="148">
        <f t="shared" si="15"/>
        <v>0</v>
      </c>
      <c r="X34" s="148">
        <f t="shared" si="15"/>
        <v>0</v>
      </c>
    </row>
    <row r="35" spans="1:24" x14ac:dyDescent="0.2">
      <c r="C35" s="1" t="s">
        <v>400</v>
      </c>
      <c r="D35" s="80" t="s">
        <v>117</v>
      </c>
      <c r="E35" s="148">
        <f>E34</f>
        <v>0</v>
      </c>
      <c r="F35" s="148">
        <f>E35+F34</f>
        <v>0</v>
      </c>
      <c r="G35" s="148">
        <f t="shared" ref="G35:W35" si="16">F35+G34</f>
        <v>0</v>
      </c>
      <c r="H35" s="148">
        <f t="shared" si="16"/>
        <v>0</v>
      </c>
      <c r="I35" s="148">
        <f t="shared" si="16"/>
        <v>0</v>
      </c>
      <c r="J35" s="148">
        <f t="shared" si="16"/>
        <v>0</v>
      </c>
      <c r="K35" s="148">
        <f t="shared" si="16"/>
        <v>0</v>
      </c>
      <c r="L35" s="148">
        <f t="shared" si="16"/>
        <v>0</v>
      </c>
      <c r="M35" s="148">
        <f t="shared" si="16"/>
        <v>0</v>
      </c>
      <c r="N35" s="148">
        <f t="shared" si="16"/>
        <v>0</v>
      </c>
      <c r="O35" s="148">
        <f t="shared" si="16"/>
        <v>0</v>
      </c>
      <c r="P35" s="148">
        <f t="shared" si="16"/>
        <v>0</v>
      </c>
      <c r="Q35" s="148">
        <f t="shared" si="16"/>
        <v>0</v>
      </c>
      <c r="R35" s="148">
        <f t="shared" si="16"/>
        <v>0</v>
      </c>
      <c r="S35" s="148">
        <f t="shared" si="16"/>
        <v>0</v>
      </c>
      <c r="T35" s="148">
        <f t="shared" si="16"/>
        <v>0</v>
      </c>
      <c r="U35" s="148">
        <f t="shared" si="16"/>
        <v>0</v>
      </c>
      <c r="V35" s="148">
        <f t="shared" si="16"/>
        <v>0</v>
      </c>
      <c r="W35" s="148">
        <f t="shared" si="16"/>
        <v>0</v>
      </c>
      <c r="X35" s="148">
        <f>W35+X34</f>
        <v>0</v>
      </c>
    </row>
    <row r="36" spans="1:24" x14ac:dyDescent="0.2">
      <c r="C36" s="27" t="s">
        <v>237</v>
      </c>
      <c r="D36" s="80" t="s">
        <v>117</v>
      </c>
      <c r="E36" s="17">
        <f>E31+E35</f>
        <v>0</v>
      </c>
      <c r="F36" s="17">
        <f t="shared" ref="F36:X36" si="17">F31+F35</f>
        <v>0</v>
      </c>
      <c r="G36" s="17">
        <f t="shared" si="17"/>
        <v>0</v>
      </c>
      <c r="H36" s="17">
        <f t="shared" si="17"/>
        <v>0</v>
      </c>
      <c r="I36" s="17">
        <f t="shared" si="17"/>
        <v>0</v>
      </c>
      <c r="J36" s="17">
        <f t="shared" si="17"/>
        <v>0</v>
      </c>
      <c r="K36" s="17">
        <f t="shared" si="17"/>
        <v>0</v>
      </c>
      <c r="L36" s="17">
        <f t="shared" si="17"/>
        <v>0</v>
      </c>
      <c r="M36" s="17">
        <f t="shared" si="17"/>
        <v>0</v>
      </c>
      <c r="N36" s="17">
        <f t="shared" si="17"/>
        <v>0</v>
      </c>
      <c r="O36" s="17">
        <f t="shared" si="17"/>
        <v>0</v>
      </c>
      <c r="P36" s="17">
        <f t="shared" si="17"/>
        <v>0</v>
      </c>
      <c r="Q36" s="17">
        <f t="shared" si="17"/>
        <v>0</v>
      </c>
      <c r="R36" s="17">
        <f t="shared" si="17"/>
        <v>0</v>
      </c>
      <c r="S36" s="17">
        <f t="shared" si="17"/>
        <v>0</v>
      </c>
      <c r="T36" s="17">
        <f t="shared" si="17"/>
        <v>0</v>
      </c>
      <c r="U36" s="17">
        <f t="shared" si="17"/>
        <v>0</v>
      </c>
      <c r="V36" s="17">
        <f t="shared" si="17"/>
        <v>0</v>
      </c>
      <c r="W36" s="17">
        <f t="shared" si="17"/>
        <v>0</v>
      </c>
      <c r="X36" s="17">
        <f t="shared" si="17"/>
        <v>0</v>
      </c>
    </row>
    <row r="37" spans="1:24" x14ac:dyDescent="0.2">
      <c r="C37" s="28" t="s">
        <v>238</v>
      </c>
      <c r="D37" s="80" t="s">
        <v>117</v>
      </c>
      <c r="E37" s="17">
        <f t="shared" ref="E37:X37" si="18">E24+E36</f>
        <v>18503.997110209872</v>
      </c>
      <c r="F37" s="17">
        <f t="shared" si="18"/>
        <v>19565.59480312316</v>
      </c>
      <c r="G37" s="17">
        <f t="shared" si="18"/>
        <v>20688.097696944467</v>
      </c>
      <c r="H37" s="17">
        <f t="shared" si="18"/>
        <v>21874.999999999996</v>
      </c>
      <c r="I37" s="17">
        <f t="shared" si="18"/>
        <v>23129.996387762338</v>
      </c>
      <c r="J37" s="17">
        <f t="shared" si="18"/>
        <v>24456.993503903945</v>
      </c>
      <c r="K37" s="17">
        <f t="shared" si="18"/>
        <v>7356.1250109707116</v>
      </c>
      <c r="L37" s="17">
        <f t="shared" si="18"/>
        <v>-4.4803123165365832E-2</v>
      </c>
      <c r="M37" s="17">
        <f t="shared" si="18"/>
        <v>-4.7373534947446075E-2</v>
      </c>
      <c r="N37" s="17">
        <f t="shared" si="18"/>
        <v>-5.0091414501026776E-2</v>
      </c>
      <c r="O37" s="17">
        <f t="shared" si="18"/>
        <v>-5.2965222238475676E-2</v>
      </c>
      <c r="P37" s="17">
        <f t="shared" si="18"/>
        <v>-5.600390395670729E-2</v>
      </c>
      <c r="Q37" s="17">
        <f>Q24+Q36</f>
        <v>-26401.159216918681</v>
      </c>
      <c r="R37" s="17">
        <f t="shared" si="18"/>
        <v>-27915.827077488801</v>
      </c>
      <c r="S37" s="17">
        <f t="shared" si="18"/>
        <v>-29517.393346912642</v>
      </c>
      <c r="T37" s="17">
        <f t="shared" si="18"/>
        <v>-31210.843496697122</v>
      </c>
      <c r="U37" s="17">
        <f t="shared" si="18"/>
        <v>-33001.44902114835</v>
      </c>
      <c r="V37" s="17">
        <f t="shared" si="18"/>
        <v>-34894.783846860999</v>
      </c>
      <c r="W37" s="17">
        <f t="shared" si="18"/>
        <v>-36896.741683640801</v>
      </c>
      <c r="X37" s="17">
        <f t="shared" si="18"/>
        <v>-39013.554370871403</v>
      </c>
    </row>
    <row r="38" spans="1:24" x14ac:dyDescent="0.2">
      <c r="D38" s="80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</row>
    <row r="39" spans="1:24" x14ac:dyDescent="0.2">
      <c r="A39" s="25" t="s">
        <v>333</v>
      </c>
      <c r="D39" s="80"/>
      <c r="E39" s="49"/>
      <c r="F39" s="49" t="s">
        <v>73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</row>
    <row r="40" spans="1:24" x14ac:dyDescent="0.2">
      <c r="A40" s="25"/>
      <c r="B40" s="92" t="s">
        <v>233</v>
      </c>
      <c r="D40" s="80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</row>
    <row r="41" spans="1:24" x14ac:dyDescent="0.2">
      <c r="A41" s="25"/>
      <c r="C41" s="1" t="s">
        <v>201</v>
      </c>
      <c r="D41" s="80" t="s">
        <v>123</v>
      </c>
      <c r="E41" s="78">
        <v>0</v>
      </c>
      <c r="F41" s="93">
        <f>E41</f>
        <v>0</v>
      </c>
      <c r="G41" s="93">
        <f t="shared" ref="G41:X41" si="19">F41</f>
        <v>0</v>
      </c>
      <c r="H41" s="93">
        <f t="shared" si="19"/>
        <v>0</v>
      </c>
      <c r="I41" s="93">
        <f t="shared" si="19"/>
        <v>0</v>
      </c>
      <c r="J41" s="93">
        <f t="shared" si="19"/>
        <v>0</v>
      </c>
      <c r="K41" s="93">
        <f t="shared" si="19"/>
        <v>0</v>
      </c>
      <c r="L41" s="93">
        <f t="shared" si="19"/>
        <v>0</v>
      </c>
      <c r="M41" s="93">
        <f t="shared" si="19"/>
        <v>0</v>
      </c>
      <c r="N41" s="93">
        <f t="shared" si="19"/>
        <v>0</v>
      </c>
      <c r="O41" s="93">
        <f t="shared" si="19"/>
        <v>0</v>
      </c>
      <c r="P41" s="93">
        <f t="shared" si="19"/>
        <v>0</v>
      </c>
      <c r="Q41" s="93">
        <f t="shared" si="19"/>
        <v>0</v>
      </c>
      <c r="R41" s="93">
        <f t="shared" si="19"/>
        <v>0</v>
      </c>
      <c r="S41" s="93">
        <f t="shared" si="19"/>
        <v>0</v>
      </c>
      <c r="T41" s="93">
        <f t="shared" si="19"/>
        <v>0</v>
      </c>
      <c r="U41" s="93">
        <f t="shared" si="19"/>
        <v>0</v>
      </c>
      <c r="V41" s="93">
        <f t="shared" si="19"/>
        <v>0</v>
      </c>
      <c r="W41" s="93">
        <f t="shared" si="19"/>
        <v>0</v>
      </c>
      <c r="X41" s="93">
        <f t="shared" si="19"/>
        <v>0</v>
      </c>
    </row>
    <row r="42" spans="1:24" x14ac:dyDescent="0.2">
      <c r="A42" s="25"/>
      <c r="C42" s="1" t="s">
        <v>346</v>
      </c>
      <c r="D42" s="80" t="s">
        <v>123</v>
      </c>
      <c r="E42" s="93">
        <f>POWER(1+E41,90/360)-1</f>
        <v>0</v>
      </c>
      <c r="F42" s="93">
        <f t="shared" ref="F42:X42" si="20">POWER(1+F41,90/360)-1</f>
        <v>0</v>
      </c>
      <c r="G42" s="93">
        <f t="shared" si="20"/>
        <v>0</v>
      </c>
      <c r="H42" s="93">
        <f t="shared" si="20"/>
        <v>0</v>
      </c>
      <c r="I42" s="93">
        <f t="shared" si="20"/>
        <v>0</v>
      </c>
      <c r="J42" s="93">
        <f t="shared" si="20"/>
        <v>0</v>
      </c>
      <c r="K42" s="93">
        <f t="shared" si="20"/>
        <v>0</v>
      </c>
      <c r="L42" s="93">
        <f t="shared" si="20"/>
        <v>0</v>
      </c>
      <c r="M42" s="93">
        <f t="shared" si="20"/>
        <v>0</v>
      </c>
      <c r="N42" s="93">
        <f t="shared" si="20"/>
        <v>0</v>
      </c>
      <c r="O42" s="93">
        <f t="shared" si="20"/>
        <v>0</v>
      </c>
      <c r="P42" s="93">
        <f t="shared" si="20"/>
        <v>0</v>
      </c>
      <c r="Q42" s="93">
        <f t="shared" si="20"/>
        <v>0</v>
      </c>
      <c r="R42" s="93">
        <f t="shared" si="20"/>
        <v>0</v>
      </c>
      <c r="S42" s="93">
        <f t="shared" si="20"/>
        <v>0</v>
      </c>
      <c r="T42" s="93">
        <f t="shared" si="20"/>
        <v>0</v>
      </c>
      <c r="U42" s="93">
        <f t="shared" si="20"/>
        <v>0</v>
      </c>
      <c r="V42" s="93">
        <f t="shared" si="20"/>
        <v>0</v>
      </c>
      <c r="W42" s="93">
        <f t="shared" si="20"/>
        <v>0</v>
      </c>
      <c r="X42" s="93">
        <f t="shared" si="20"/>
        <v>0</v>
      </c>
    </row>
    <row r="43" spans="1:24" x14ac:dyDescent="0.2">
      <c r="C43" s="1" t="s">
        <v>202</v>
      </c>
      <c r="D43" s="80" t="s">
        <v>117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</row>
    <row r="44" spans="1:24" x14ac:dyDescent="0.2">
      <c r="C44" s="1" t="s">
        <v>344</v>
      </c>
      <c r="D44" s="80" t="s">
        <v>117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</row>
    <row r="45" spans="1:24" x14ac:dyDescent="0.2">
      <c r="C45" s="95" t="s">
        <v>310</v>
      </c>
      <c r="D45" s="143" t="s">
        <v>117</v>
      </c>
      <c r="E45" s="144">
        <f>SUM(E43:E44)</f>
        <v>0</v>
      </c>
      <c r="F45" s="144">
        <f t="shared" ref="F45:X45" si="21">SUM(F43:F44)</f>
        <v>0</v>
      </c>
      <c r="G45" s="144">
        <f t="shared" si="21"/>
        <v>0</v>
      </c>
      <c r="H45" s="144">
        <f t="shared" si="21"/>
        <v>0</v>
      </c>
      <c r="I45" s="144">
        <f t="shared" si="21"/>
        <v>0</v>
      </c>
      <c r="J45" s="144">
        <f t="shared" si="21"/>
        <v>0</v>
      </c>
      <c r="K45" s="144">
        <f t="shared" si="21"/>
        <v>0</v>
      </c>
      <c r="L45" s="144">
        <f t="shared" si="21"/>
        <v>0</v>
      </c>
      <c r="M45" s="144">
        <f t="shared" si="21"/>
        <v>0</v>
      </c>
      <c r="N45" s="144">
        <f t="shared" si="21"/>
        <v>0</v>
      </c>
      <c r="O45" s="144">
        <f t="shared" si="21"/>
        <v>0</v>
      </c>
      <c r="P45" s="144">
        <f t="shared" si="21"/>
        <v>0</v>
      </c>
      <c r="Q45" s="144">
        <f t="shared" si="21"/>
        <v>0</v>
      </c>
      <c r="R45" s="144">
        <f t="shared" si="21"/>
        <v>0</v>
      </c>
      <c r="S45" s="144">
        <f t="shared" si="21"/>
        <v>0</v>
      </c>
      <c r="T45" s="144">
        <f t="shared" si="21"/>
        <v>0</v>
      </c>
      <c r="U45" s="144">
        <f t="shared" si="21"/>
        <v>0</v>
      </c>
      <c r="V45" s="144">
        <f t="shared" si="21"/>
        <v>0</v>
      </c>
      <c r="W45" s="144">
        <f t="shared" si="21"/>
        <v>0</v>
      </c>
      <c r="X45" s="144">
        <f t="shared" si="21"/>
        <v>0</v>
      </c>
    </row>
    <row r="46" spans="1:24" x14ac:dyDescent="0.2">
      <c r="C46" s="1" t="s">
        <v>345</v>
      </c>
      <c r="D46" s="80" t="s">
        <v>117</v>
      </c>
      <c r="E46" s="15">
        <f>E45</f>
        <v>0</v>
      </c>
      <c r="F46" s="15">
        <f>E46+F45</f>
        <v>0</v>
      </c>
      <c r="G46" s="15">
        <f t="shared" ref="G46:X46" si="22">F46+G45</f>
        <v>0</v>
      </c>
      <c r="H46" s="15">
        <f t="shared" si="22"/>
        <v>0</v>
      </c>
      <c r="I46" s="15">
        <f t="shared" si="22"/>
        <v>0</v>
      </c>
      <c r="J46" s="15">
        <f t="shared" si="22"/>
        <v>0</v>
      </c>
      <c r="K46" s="15">
        <f t="shared" si="22"/>
        <v>0</v>
      </c>
      <c r="L46" s="15">
        <f t="shared" si="22"/>
        <v>0</v>
      </c>
      <c r="M46" s="15">
        <f t="shared" si="22"/>
        <v>0</v>
      </c>
      <c r="N46" s="15">
        <f t="shared" si="22"/>
        <v>0</v>
      </c>
      <c r="O46" s="15">
        <f t="shared" si="22"/>
        <v>0</v>
      </c>
      <c r="P46" s="15">
        <f t="shared" si="22"/>
        <v>0</v>
      </c>
      <c r="Q46" s="15">
        <f t="shared" si="22"/>
        <v>0</v>
      </c>
      <c r="R46" s="15">
        <f t="shared" si="22"/>
        <v>0</v>
      </c>
      <c r="S46" s="15">
        <f t="shared" si="22"/>
        <v>0</v>
      </c>
      <c r="T46" s="15">
        <f t="shared" si="22"/>
        <v>0</v>
      </c>
      <c r="U46" s="15">
        <f t="shared" si="22"/>
        <v>0</v>
      </c>
      <c r="V46" s="15">
        <f t="shared" si="22"/>
        <v>0</v>
      </c>
      <c r="W46" s="15">
        <f t="shared" si="22"/>
        <v>0</v>
      </c>
      <c r="X46" s="15">
        <f t="shared" si="22"/>
        <v>0</v>
      </c>
    </row>
    <row r="47" spans="1:24" x14ac:dyDescent="0.2">
      <c r="C47" s="1" t="s">
        <v>347</v>
      </c>
      <c r="D47" s="80" t="s">
        <v>117</v>
      </c>
      <c r="E47" s="148">
        <f>E46*E42</f>
        <v>0</v>
      </c>
      <c r="F47" s="148">
        <f>(F46+E50)*F42</f>
        <v>0</v>
      </c>
      <c r="G47" s="148">
        <f t="shared" ref="G47:X47" si="23">(G46+F50)*G42</f>
        <v>0</v>
      </c>
      <c r="H47" s="148">
        <f t="shared" si="23"/>
        <v>0</v>
      </c>
      <c r="I47" s="148">
        <f t="shared" si="23"/>
        <v>0</v>
      </c>
      <c r="J47" s="148">
        <f t="shared" si="23"/>
        <v>0</v>
      </c>
      <c r="K47" s="148">
        <f t="shared" si="23"/>
        <v>0</v>
      </c>
      <c r="L47" s="148">
        <f t="shared" si="23"/>
        <v>0</v>
      </c>
      <c r="M47" s="148">
        <f t="shared" si="23"/>
        <v>0</v>
      </c>
      <c r="N47" s="148">
        <f t="shared" si="23"/>
        <v>0</v>
      </c>
      <c r="O47" s="148">
        <f t="shared" si="23"/>
        <v>0</v>
      </c>
      <c r="P47" s="148">
        <f t="shared" si="23"/>
        <v>0</v>
      </c>
      <c r="Q47" s="148">
        <f t="shared" si="23"/>
        <v>0</v>
      </c>
      <c r="R47" s="148">
        <f t="shared" si="23"/>
        <v>0</v>
      </c>
      <c r="S47" s="148">
        <f t="shared" si="23"/>
        <v>0</v>
      </c>
      <c r="T47" s="148">
        <f t="shared" si="23"/>
        <v>0</v>
      </c>
      <c r="U47" s="148">
        <f t="shared" si="23"/>
        <v>0</v>
      </c>
      <c r="V47" s="148">
        <f t="shared" si="23"/>
        <v>0</v>
      </c>
      <c r="W47" s="148">
        <f t="shared" si="23"/>
        <v>0</v>
      </c>
      <c r="X47" s="148">
        <f t="shared" si="23"/>
        <v>0</v>
      </c>
    </row>
    <row r="48" spans="1:24" x14ac:dyDescent="0.2">
      <c r="C48" s="1" t="s">
        <v>348</v>
      </c>
      <c r="D48" s="80" t="s">
        <v>117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</row>
    <row r="49" spans="2:24" x14ac:dyDescent="0.2">
      <c r="C49" s="1" t="s">
        <v>349</v>
      </c>
      <c r="D49" s="80" t="s">
        <v>117</v>
      </c>
      <c r="E49" s="148">
        <f>SUM(E47:E48)</f>
        <v>0</v>
      </c>
      <c r="F49" s="148">
        <f t="shared" ref="F49:X49" si="24">SUM(F47:F48)</f>
        <v>0</v>
      </c>
      <c r="G49" s="148">
        <f t="shared" si="24"/>
        <v>0</v>
      </c>
      <c r="H49" s="148">
        <f t="shared" si="24"/>
        <v>0</v>
      </c>
      <c r="I49" s="148">
        <f t="shared" si="24"/>
        <v>0</v>
      </c>
      <c r="J49" s="148">
        <f t="shared" si="24"/>
        <v>0</v>
      </c>
      <c r="K49" s="148">
        <f t="shared" si="24"/>
        <v>0</v>
      </c>
      <c r="L49" s="148">
        <f t="shared" si="24"/>
        <v>0</v>
      </c>
      <c r="M49" s="148">
        <f t="shared" si="24"/>
        <v>0</v>
      </c>
      <c r="N49" s="148">
        <f t="shared" si="24"/>
        <v>0</v>
      </c>
      <c r="O49" s="148">
        <f t="shared" si="24"/>
        <v>0</v>
      </c>
      <c r="P49" s="148">
        <f t="shared" si="24"/>
        <v>0</v>
      </c>
      <c r="Q49" s="148">
        <f t="shared" si="24"/>
        <v>0</v>
      </c>
      <c r="R49" s="148">
        <f t="shared" si="24"/>
        <v>0</v>
      </c>
      <c r="S49" s="148">
        <f t="shared" si="24"/>
        <v>0</v>
      </c>
      <c r="T49" s="148">
        <f t="shared" si="24"/>
        <v>0</v>
      </c>
      <c r="U49" s="148">
        <f t="shared" si="24"/>
        <v>0</v>
      </c>
      <c r="V49" s="148">
        <f t="shared" si="24"/>
        <v>0</v>
      </c>
      <c r="W49" s="148">
        <f t="shared" si="24"/>
        <v>0</v>
      </c>
      <c r="X49" s="148">
        <f t="shared" si="24"/>
        <v>0</v>
      </c>
    </row>
    <row r="50" spans="2:24" x14ac:dyDescent="0.2">
      <c r="C50" s="1" t="s">
        <v>400</v>
      </c>
      <c r="D50" s="80" t="s">
        <v>117</v>
      </c>
      <c r="E50" s="148">
        <f>E49</f>
        <v>0</v>
      </c>
      <c r="F50" s="148">
        <f>E50+F49</f>
        <v>0</v>
      </c>
      <c r="G50" s="148">
        <f t="shared" ref="G50:X50" si="25">F50+G49</f>
        <v>0</v>
      </c>
      <c r="H50" s="148">
        <f t="shared" si="25"/>
        <v>0</v>
      </c>
      <c r="I50" s="148">
        <f t="shared" si="25"/>
        <v>0</v>
      </c>
      <c r="J50" s="148">
        <f t="shared" si="25"/>
        <v>0</v>
      </c>
      <c r="K50" s="148">
        <f t="shared" si="25"/>
        <v>0</v>
      </c>
      <c r="L50" s="148">
        <f t="shared" si="25"/>
        <v>0</v>
      </c>
      <c r="M50" s="148">
        <f t="shared" si="25"/>
        <v>0</v>
      </c>
      <c r="N50" s="148">
        <f t="shared" si="25"/>
        <v>0</v>
      </c>
      <c r="O50" s="148">
        <f t="shared" si="25"/>
        <v>0</v>
      </c>
      <c r="P50" s="148">
        <f t="shared" si="25"/>
        <v>0</v>
      </c>
      <c r="Q50" s="148">
        <f t="shared" si="25"/>
        <v>0</v>
      </c>
      <c r="R50" s="148">
        <f t="shared" si="25"/>
        <v>0</v>
      </c>
      <c r="S50" s="148">
        <f t="shared" si="25"/>
        <v>0</v>
      </c>
      <c r="T50" s="148">
        <f t="shared" si="25"/>
        <v>0</v>
      </c>
      <c r="U50" s="148">
        <f t="shared" si="25"/>
        <v>0</v>
      </c>
      <c r="V50" s="148">
        <f t="shared" si="25"/>
        <v>0</v>
      </c>
      <c r="W50" s="148">
        <f t="shared" si="25"/>
        <v>0</v>
      </c>
      <c r="X50" s="148">
        <f t="shared" si="25"/>
        <v>0</v>
      </c>
    </row>
    <row r="51" spans="2:24" x14ac:dyDescent="0.2">
      <c r="C51" s="27" t="s">
        <v>351</v>
      </c>
      <c r="D51" s="80" t="s">
        <v>117</v>
      </c>
      <c r="E51" s="17">
        <f>E46+E50</f>
        <v>0</v>
      </c>
      <c r="F51" s="17">
        <f t="shared" ref="F51:X51" si="26">F46+F50</f>
        <v>0</v>
      </c>
      <c r="G51" s="17">
        <f t="shared" si="26"/>
        <v>0</v>
      </c>
      <c r="H51" s="17">
        <f t="shared" si="26"/>
        <v>0</v>
      </c>
      <c r="I51" s="17">
        <f t="shared" si="26"/>
        <v>0</v>
      </c>
      <c r="J51" s="17">
        <f t="shared" si="26"/>
        <v>0</v>
      </c>
      <c r="K51" s="17">
        <f t="shared" si="26"/>
        <v>0</v>
      </c>
      <c r="L51" s="17">
        <f t="shared" si="26"/>
        <v>0</v>
      </c>
      <c r="M51" s="17">
        <f t="shared" si="26"/>
        <v>0</v>
      </c>
      <c r="N51" s="17">
        <f t="shared" si="26"/>
        <v>0</v>
      </c>
      <c r="O51" s="17">
        <f t="shared" si="26"/>
        <v>0</v>
      </c>
      <c r="P51" s="17">
        <f t="shared" si="26"/>
        <v>0</v>
      </c>
      <c r="Q51" s="17">
        <f t="shared" si="26"/>
        <v>0</v>
      </c>
      <c r="R51" s="17">
        <f t="shared" si="26"/>
        <v>0</v>
      </c>
      <c r="S51" s="17">
        <f t="shared" si="26"/>
        <v>0</v>
      </c>
      <c r="T51" s="17">
        <f t="shared" si="26"/>
        <v>0</v>
      </c>
      <c r="U51" s="17">
        <f t="shared" si="26"/>
        <v>0</v>
      </c>
      <c r="V51" s="17">
        <f t="shared" si="26"/>
        <v>0</v>
      </c>
      <c r="W51" s="17">
        <f t="shared" si="26"/>
        <v>0</v>
      </c>
      <c r="X51" s="17">
        <f t="shared" si="26"/>
        <v>0</v>
      </c>
    </row>
    <row r="52" spans="2:24" x14ac:dyDescent="0.2">
      <c r="B52" s="92" t="s">
        <v>232</v>
      </c>
      <c r="C52" s="28"/>
      <c r="D52" s="80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spans="2:24" x14ac:dyDescent="0.2">
      <c r="C53" s="1" t="s">
        <v>201</v>
      </c>
      <c r="D53" s="80" t="s">
        <v>123</v>
      </c>
      <c r="E53" s="78">
        <v>0</v>
      </c>
      <c r="F53" s="93">
        <f>E53</f>
        <v>0</v>
      </c>
      <c r="G53" s="93">
        <f t="shared" ref="G53:X53" si="27">F53</f>
        <v>0</v>
      </c>
      <c r="H53" s="93">
        <f t="shared" si="27"/>
        <v>0</v>
      </c>
      <c r="I53" s="93">
        <f t="shared" si="27"/>
        <v>0</v>
      </c>
      <c r="J53" s="93">
        <f t="shared" si="27"/>
        <v>0</v>
      </c>
      <c r="K53" s="93">
        <f t="shared" si="27"/>
        <v>0</v>
      </c>
      <c r="L53" s="93">
        <f t="shared" si="27"/>
        <v>0</v>
      </c>
      <c r="M53" s="93">
        <f t="shared" si="27"/>
        <v>0</v>
      </c>
      <c r="N53" s="93">
        <f t="shared" si="27"/>
        <v>0</v>
      </c>
      <c r="O53" s="93">
        <f t="shared" si="27"/>
        <v>0</v>
      </c>
      <c r="P53" s="93">
        <f t="shared" si="27"/>
        <v>0</v>
      </c>
      <c r="Q53" s="93">
        <f t="shared" si="27"/>
        <v>0</v>
      </c>
      <c r="R53" s="93">
        <f t="shared" si="27"/>
        <v>0</v>
      </c>
      <c r="S53" s="93">
        <f t="shared" si="27"/>
        <v>0</v>
      </c>
      <c r="T53" s="93">
        <f t="shared" si="27"/>
        <v>0</v>
      </c>
      <c r="U53" s="93">
        <f t="shared" si="27"/>
        <v>0</v>
      </c>
      <c r="V53" s="93">
        <f t="shared" si="27"/>
        <v>0</v>
      </c>
      <c r="W53" s="93">
        <f t="shared" si="27"/>
        <v>0</v>
      </c>
      <c r="X53" s="93">
        <f t="shared" si="27"/>
        <v>0</v>
      </c>
    </row>
    <row r="54" spans="2:24" x14ac:dyDescent="0.2">
      <c r="C54" s="1" t="s">
        <v>346</v>
      </c>
      <c r="D54" s="80" t="s">
        <v>123</v>
      </c>
      <c r="E54" s="93">
        <f>POWER(1+E53,90/360)-1</f>
        <v>0</v>
      </c>
      <c r="F54" s="93">
        <f t="shared" ref="F54:X54" si="28">POWER(1+F53,90/360)-1</f>
        <v>0</v>
      </c>
      <c r="G54" s="93">
        <f t="shared" si="28"/>
        <v>0</v>
      </c>
      <c r="H54" s="93">
        <f t="shared" si="28"/>
        <v>0</v>
      </c>
      <c r="I54" s="93">
        <f t="shared" si="28"/>
        <v>0</v>
      </c>
      <c r="J54" s="93">
        <f t="shared" si="28"/>
        <v>0</v>
      </c>
      <c r="K54" s="93">
        <f t="shared" si="28"/>
        <v>0</v>
      </c>
      <c r="L54" s="93">
        <f t="shared" si="28"/>
        <v>0</v>
      </c>
      <c r="M54" s="93">
        <f t="shared" si="28"/>
        <v>0</v>
      </c>
      <c r="N54" s="93">
        <f t="shared" si="28"/>
        <v>0</v>
      </c>
      <c r="O54" s="93">
        <f t="shared" si="28"/>
        <v>0</v>
      </c>
      <c r="P54" s="93">
        <f t="shared" si="28"/>
        <v>0</v>
      </c>
      <c r="Q54" s="93">
        <f t="shared" si="28"/>
        <v>0</v>
      </c>
      <c r="R54" s="93">
        <f t="shared" si="28"/>
        <v>0</v>
      </c>
      <c r="S54" s="93">
        <f t="shared" si="28"/>
        <v>0</v>
      </c>
      <c r="T54" s="93">
        <f t="shared" si="28"/>
        <v>0</v>
      </c>
      <c r="U54" s="93">
        <f t="shared" si="28"/>
        <v>0</v>
      </c>
      <c r="V54" s="93">
        <f t="shared" si="28"/>
        <v>0</v>
      </c>
      <c r="W54" s="93">
        <f t="shared" si="28"/>
        <v>0</v>
      </c>
      <c r="X54" s="93">
        <f t="shared" si="28"/>
        <v>0</v>
      </c>
    </row>
    <row r="55" spans="2:24" x14ac:dyDescent="0.2">
      <c r="C55" s="1" t="s">
        <v>202</v>
      </c>
      <c r="D55" s="80" t="s">
        <v>117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</row>
    <row r="56" spans="2:24" x14ac:dyDescent="0.2">
      <c r="C56" s="1" t="s">
        <v>344</v>
      </c>
      <c r="D56" s="80" t="s">
        <v>117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</row>
    <row r="57" spans="2:24" x14ac:dyDescent="0.2">
      <c r="C57" s="95" t="s">
        <v>310</v>
      </c>
      <c r="D57" s="143" t="s">
        <v>117</v>
      </c>
      <c r="E57" s="144">
        <f>SUM(E55:E56)</f>
        <v>0</v>
      </c>
      <c r="F57" s="144">
        <f t="shared" ref="F57:X57" si="29">SUM(F55:F56)</f>
        <v>0</v>
      </c>
      <c r="G57" s="144">
        <f t="shared" si="29"/>
        <v>0</v>
      </c>
      <c r="H57" s="144">
        <f t="shared" si="29"/>
        <v>0</v>
      </c>
      <c r="I57" s="144">
        <f t="shared" si="29"/>
        <v>0</v>
      </c>
      <c r="J57" s="144">
        <f t="shared" si="29"/>
        <v>0</v>
      </c>
      <c r="K57" s="144">
        <f t="shared" si="29"/>
        <v>0</v>
      </c>
      <c r="L57" s="144">
        <f t="shared" si="29"/>
        <v>0</v>
      </c>
      <c r="M57" s="144">
        <f t="shared" si="29"/>
        <v>0</v>
      </c>
      <c r="N57" s="144">
        <f t="shared" si="29"/>
        <v>0</v>
      </c>
      <c r="O57" s="144">
        <f t="shared" si="29"/>
        <v>0</v>
      </c>
      <c r="P57" s="144">
        <f t="shared" si="29"/>
        <v>0</v>
      </c>
      <c r="Q57" s="144">
        <f t="shared" si="29"/>
        <v>0</v>
      </c>
      <c r="R57" s="144">
        <f t="shared" si="29"/>
        <v>0</v>
      </c>
      <c r="S57" s="144">
        <f t="shared" si="29"/>
        <v>0</v>
      </c>
      <c r="T57" s="144">
        <f t="shared" si="29"/>
        <v>0</v>
      </c>
      <c r="U57" s="144">
        <f t="shared" si="29"/>
        <v>0</v>
      </c>
      <c r="V57" s="144">
        <f t="shared" si="29"/>
        <v>0</v>
      </c>
      <c r="W57" s="144">
        <f t="shared" si="29"/>
        <v>0</v>
      </c>
      <c r="X57" s="144">
        <f t="shared" si="29"/>
        <v>0</v>
      </c>
    </row>
    <row r="58" spans="2:24" x14ac:dyDescent="0.2">
      <c r="C58" s="1" t="s">
        <v>345</v>
      </c>
      <c r="D58" s="80" t="s">
        <v>117</v>
      </c>
      <c r="E58" s="15">
        <f>E57</f>
        <v>0</v>
      </c>
      <c r="F58" s="15">
        <f>E58+F57</f>
        <v>0</v>
      </c>
      <c r="G58" s="15">
        <f t="shared" ref="G58:X58" si="30">F58+G57</f>
        <v>0</v>
      </c>
      <c r="H58" s="15">
        <f t="shared" si="30"/>
        <v>0</v>
      </c>
      <c r="I58" s="15">
        <f t="shared" si="30"/>
        <v>0</v>
      </c>
      <c r="J58" s="15">
        <f t="shared" si="30"/>
        <v>0</v>
      </c>
      <c r="K58" s="15">
        <f t="shared" si="30"/>
        <v>0</v>
      </c>
      <c r="L58" s="15">
        <f t="shared" si="30"/>
        <v>0</v>
      </c>
      <c r="M58" s="15">
        <f t="shared" si="30"/>
        <v>0</v>
      </c>
      <c r="N58" s="15">
        <f t="shared" si="30"/>
        <v>0</v>
      </c>
      <c r="O58" s="15">
        <f t="shared" si="30"/>
        <v>0</v>
      </c>
      <c r="P58" s="15">
        <f t="shared" si="30"/>
        <v>0</v>
      </c>
      <c r="Q58" s="15">
        <f t="shared" si="30"/>
        <v>0</v>
      </c>
      <c r="R58" s="15">
        <f t="shared" si="30"/>
        <v>0</v>
      </c>
      <c r="S58" s="15">
        <f t="shared" si="30"/>
        <v>0</v>
      </c>
      <c r="T58" s="15">
        <f t="shared" si="30"/>
        <v>0</v>
      </c>
      <c r="U58" s="15">
        <f t="shared" si="30"/>
        <v>0</v>
      </c>
      <c r="V58" s="15">
        <f t="shared" si="30"/>
        <v>0</v>
      </c>
      <c r="W58" s="15">
        <f t="shared" si="30"/>
        <v>0</v>
      </c>
      <c r="X58" s="15">
        <f t="shared" si="30"/>
        <v>0</v>
      </c>
    </row>
    <row r="59" spans="2:24" x14ac:dyDescent="0.2">
      <c r="C59" s="1" t="s">
        <v>347</v>
      </c>
      <c r="D59" s="80" t="s">
        <v>117</v>
      </c>
      <c r="E59" s="148">
        <f>E58*E54</f>
        <v>0</v>
      </c>
      <c r="F59" s="148">
        <f>(F58+E62)*F54</f>
        <v>0</v>
      </c>
      <c r="G59" s="148">
        <f t="shared" ref="G59:X59" si="31">(G58+F62)*G54</f>
        <v>0</v>
      </c>
      <c r="H59" s="148">
        <f t="shared" si="31"/>
        <v>0</v>
      </c>
      <c r="I59" s="148">
        <f t="shared" si="31"/>
        <v>0</v>
      </c>
      <c r="J59" s="148">
        <f t="shared" si="31"/>
        <v>0</v>
      </c>
      <c r="K59" s="148">
        <f t="shared" si="31"/>
        <v>0</v>
      </c>
      <c r="L59" s="148">
        <f t="shared" si="31"/>
        <v>0</v>
      </c>
      <c r="M59" s="148">
        <f t="shared" si="31"/>
        <v>0</v>
      </c>
      <c r="N59" s="148">
        <f t="shared" si="31"/>
        <v>0</v>
      </c>
      <c r="O59" s="148">
        <f t="shared" si="31"/>
        <v>0</v>
      </c>
      <c r="P59" s="148">
        <f t="shared" si="31"/>
        <v>0</v>
      </c>
      <c r="Q59" s="148">
        <f t="shared" si="31"/>
        <v>0</v>
      </c>
      <c r="R59" s="148">
        <f t="shared" si="31"/>
        <v>0</v>
      </c>
      <c r="S59" s="148">
        <f t="shared" si="31"/>
        <v>0</v>
      </c>
      <c r="T59" s="148">
        <f t="shared" si="31"/>
        <v>0</v>
      </c>
      <c r="U59" s="148">
        <f t="shared" si="31"/>
        <v>0</v>
      </c>
      <c r="V59" s="148">
        <f t="shared" si="31"/>
        <v>0</v>
      </c>
      <c r="W59" s="148">
        <f t="shared" si="31"/>
        <v>0</v>
      </c>
      <c r="X59" s="148">
        <f t="shared" si="31"/>
        <v>0</v>
      </c>
    </row>
    <row r="60" spans="2:24" x14ac:dyDescent="0.2">
      <c r="C60" s="1" t="s">
        <v>348</v>
      </c>
      <c r="D60" s="80" t="s">
        <v>117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</row>
    <row r="61" spans="2:24" x14ac:dyDescent="0.2">
      <c r="C61" s="1" t="s">
        <v>349</v>
      </c>
      <c r="D61" s="80" t="s">
        <v>117</v>
      </c>
      <c r="E61" s="148">
        <f>SUM(E59:E60)</f>
        <v>0</v>
      </c>
      <c r="F61" s="148">
        <f t="shared" ref="F61:X61" si="32">SUM(F59:F60)</f>
        <v>0</v>
      </c>
      <c r="G61" s="148">
        <f t="shared" si="32"/>
        <v>0</v>
      </c>
      <c r="H61" s="148">
        <f t="shared" si="32"/>
        <v>0</v>
      </c>
      <c r="I61" s="148">
        <f t="shared" si="32"/>
        <v>0</v>
      </c>
      <c r="J61" s="148">
        <f t="shared" si="32"/>
        <v>0</v>
      </c>
      <c r="K61" s="148">
        <f t="shared" si="32"/>
        <v>0</v>
      </c>
      <c r="L61" s="148">
        <f t="shared" si="32"/>
        <v>0</v>
      </c>
      <c r="M61" s="148">
        <f t="shared" si="32"/>
        <v>0</v>
      </c>
      <c r="N61" s="148">
        <f t="shared" si="32"/>
        <v>0</v>
      </c>
      <c r="O61" s="148">
        <f t="shared" si="32"/>
        <v>0</v>
      </c>
      <c r="P61" s="148">
        <f t="shared" si="32"/>
        <v>0</v>
      </c>
      <c r="Q61" s="148">
        <f t="shared" si="32"/>
        <v>0</v>
      </c>
      <c r="R61" s="148">
        <f t="shared" si="32"/>
        <v>0</v>
      </c>
      <c r="S61" s="148">
        <f t="shared" si="32"/>
        <v>0</v>
      </c>
      <c r="T61" s="148">
        <f t="shared" si="32"/>
        <v>0</v>
      </c>
      <c r="U61" s="148">
        <f t="shared" si="32"/>
        <v>0</v>
      </c>
      <c r="V61" s="148">
        <f t="shared" si="32"/>
        <v>0</v>
      </c>
      <c r="W61" s="148">
        <f t="shared" si="32"/>
        <v>0</v>
      </c>
      <c r="X61" s="148">
        <f t="shared" si="32"/>
        <v>0</v>
      </c>
    </row>
    <row r="62" spans="2:24" x14ac:dyDescent="0.2">
      <c r="C62" s="1" t="s">
        <v>400</v>
      </c>
      <c r="D62" s="80" t="s">
        <v>117</v>
      </c>
      <c r="E62" s="148">
        <f>E61</f>
        <v>0</v>
      </c>
      <c r="F62" s="148">
        <f>E62+F61</f>
        <v>0</v>
      </c>
      <c r="G62" s="148">
        <f t="shared" ref="G62:X62" si="33">F62+G61</f>
        <v>0</v>
      </c>
      <c r="H62" s="148">
        <f t="shared" si="33"/>
        <v>0</v>
      </c>
      <c r="I62" s="148">
        <f t="shared" si="33"/>
        <v>0</v>
      </c>
      <c r="J62" s="148">
        <f t="shared" si="33"/>
        <v>0</v>
      </c>
      <c r="K62" s="148">
        <f t="shared" si="33"/>
        <v>0</v>
      </c>
      <c r="L62" s="148">
        <f t="shared" si="33"/>
        <v>0</v>
      </c>
      <c r="M62" s="148">
        <f t="shared" si="33"/>
        <v>0</v>
      </c>
      <c r="N62" s="148">
        <f t="shared" si="33"/>
        <v>0</v>
      </c>
      <c r="O62" s="148">
        <f t="shared" si="33"/>
        <v>0</v>
      </c>
      <c r="P62" s="148">
        <f t="shared" si="33"/>
        <v>0</v>
      </c>
      <c r="Q62" s="148">
        <f t="shared" si="33"/>
        <v>0</v>
      </c>
      <c r="R62" s="148">
        <f t="shared" si="33"/>
        <v>0</v>
      </c>
      <c r="S62" s="148">
        <f t="shared" si="33"/>
        <v>0</v>
      </c>
      <c r="T62" s="148">
        <f t="shared" si="33"/>
        <v>0</v>
      </c>
      <c r="U62" s="148">
        <f t="shared" si="33"/>
        <v>0</v>
      </c>
      <c r="V62" s="148">
        <f t="shared" si="33"/>
        <v>0</v>
      </c>
      <c r="W62" s="148">
        <f t="shared" si="33"/>
        <v>0</v>
      </c>
      <c r="X62" s="148">
        <f t="shared" si="33"/>
        <v>0</v>
      </c>
    </row>
    <row r="63" spans="2:24" x14ac:dyDescent="0.2">
      <c r="C63" s="27" t="s">
        <v>231</v>
      </c>
      <c r="D63" s="80" t="s">
        <v>117</v>
      </c>
      <c r="E63" s="17">
        <f>E58+E62</f>
        <v>0</v>
      </c>
      <c r="F63" s="17">
        <f t="shared" ref="F63:X63" si="34">F58+F62</f>
        <v>0</v>
      </c>
      <c r="G63" s="17">
        <f t="shared" si="34"/>
        <v>0</v>
      </c>
      <c r="H63" s="17">
        <f t="shared" si="34"/>
        <v>0</v>
      </c>
      <c r="I63" s="17">
        <f t="shared" si="34"/>
        <v>0</v>
      </c>
      <c r="J63" s="17">
        <f t="shared" si="34"/>
        <v>0</v>
      </c>
      <c r="K63" s="17">
        <f t="shared" si="34"/>
        <v>0</v>
      </c>
      <c r="L63" s="17">
        <f t="shared" si="34"/>
        <v>0</v>
      </c>
      <c r="M63" s="17">
        <f t="shared" si="34"/>
        <v>0</v>
      </c>
      <c r="N63" s="17">
        <f t="shared" si="34"/>
        <v>0</v>
      </c>
      <c r="O63" s="17">
        <f t="shared" si="34"/>
        <v>0</v>
      </c>
      <c r="P63" s="17">
        <f t="shared" si="34"/>
        <v>0</v>
      </c>
      <c r="Q63" s="17">
        <f t="shared" si="34"/>
        <v>0</v>
      </c>
      <c r="R63" s="17">
        <f t="shared" si="34"/>
        <v>0</v>
      </c>
      <c r="S63" s="17">
        <f t="shared" si="34"/>
        <v>0</v>
      </c>
      <c r="T63" s="17">
        <f t="shared" si="34"/>
        <v>0</v>
      </c>
      <c r="U63" s="17">
        <f t="shared" si="34"/>
        <v>0</v>
      </c>
      <c r="V63" s="17">
        <f t="shared" si="34"/>
        <v>0</v>
      </c>
      <c r="W63" s="17">
        <f t="shared" si="34"/>
        <v>0</v>
      </c>
      <c r="X63" s="17">
        <f t="shared" si="34"/>
        <v>0</v>
      </c>
    </row>
    <row r="64" spans="2:24" x14ac:dyDescent="0.2">
      <c r="C64" s="28" t="s">
        <v>350</v>
      </c>
      <c r="D64" s="80" t="s">
        <v>117</v>
      </c>
      <c r="E64" s="17">
        <f t="shared" ref="E64:X64" si="35">E51+E63</f>
        <v>0</v>
      </c>
      <c r="F64" s="17">
        <f t="shared" si="35"/>
        <v>0</v>
      </c>
      <c r="G64" s="17">
        <f t="shared" si="35"/>
        <v>0</v>
      </c>
      <c r="H64" s="17">
        <f t="shared" si="35"/>
        <v>0</v>
      </c>
      <c r="I64" s="17">
        <f t="shared" si="35"/>
        <v>0</v>
      </c>
      <c r="J64" s="17">
        <f t="shared" si="35"/>
        <v>0</v>
      </c>
      <c r="K64" s="17">
        <f t="shared" si="35"/>
        <v>0</v>
      </c>
      <c r="L64" s="17">
        <f t="shared" si="35"/>
        <v>0</v>
      </c>
      <c r="M64" s="17">
        <f t="shared" si="35"/>
        <v>0</v>
      </c>
      <c r="N64" s="17">
        <f t="shared" si="35"/>
        <v>0</v>
      </c>
      <c r="O64" s="17">
        <f t="shared" si="35"/>
        <v>0</v>
      </c>
      <c r="P64" s="17">
        <f t="shared" si="35"/>
        <v>0</v>
      </c>
      <c r="Q64" s="17">
        <f t="shared" si="35"/>
        <v>0</v>
      </c>
      <c r="R64" s="17">
        <f t="shared" si="35"/>
        <v>0</v>
      </c>
      <c r="S64" s="17">
        <f t="shared" si="35"/>
        <v>0</v>
      </c>
      <c r="T64" s="17">
        <f t="shared" si="35"/>
        <v>0</v>
      </c>
      <c r="U64" s="17">
        <f t="shared" si="35"/>
        <v>0</v>
      </c>
      <c r="V64" s="17">
        <f t="shared" si="35"/>
        <v>0</v>
      </c>
      <c r="W64" s="17">
        <f t="shared" si="35"/>
        <v>0</v>
      </c>
      <c r="X64" s="17">
        <f t="shared" si="35"/>
        <v>0</v>
      </c>
    </row>
    <row r="65" spans="1:24" x14ac:dyDescent="0.2">
      <c r="D65" s="80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</row>
    <row r="66" spans="1:24" x14ac:dyDescent="0.2">
      <c r="A66" s="57" t="s">
        <v>203</v>
      </c>
      <c r="D66" s="80" t="s">
        <v>117</v>
      </c>
      <c r="E66" s="15">
        <f>CF!F35</f>
        <v>13756.775514296553</v>
      </c>
      <c r="F66" s="15">
        <f>CF!G35</f>
        <v>17368.278020822374</v>
      </c>
      <c r="G66" s="15">
        <f>CF!H35</f>
        <v>27167.59259282492</v>
      </c>
      <c r="H66" s="15">
        <f>CF!I35</f>
        <v>45279.362680988655</v>
      </c>
      <c r="I66" s="15">
        <f>CF!J35</f>
        <v>45342.01138072263</v>
      </c>
      <c r="J66" s="15">
        <f>CF!K35</f>
        <v>59761.869599586316</v>
      </c>
      <c r="K66" s="15">
        <f>CF!L35</f>
        <v>48158.092571695153</v>
      </c>
      <c r="L66" s="15">
        <f>CF!M35</f>
        <v>64521.398736536707</v>
      </c>
      <c r="M66" s="15">
        <f>CF!N35</f>
        <v>67203.481403678161</v>
      </c>
      <c r="N66" s="15">
        <f>CF!O35</f>
        <v>97340.548163581028</v>
      </c>
      <c r="O66" s="15">
        <f>CF!P35</f>
        <v>139930.05157230439</v>
      </c>
      <c r="P66" s="15">
        <f>CF!Q35</f>
        <v>188936.79960350483</v>
      </c>
      <c r="Q66" s="15">
        <f>CF!R35</f>
        <v>221332.80342448319</v>
      </c>
      <c r="R66" s="15">
        <f>CF!S35</f>
        <v>288032.0300535073</v>
      </c>
      <c r="S66" s="15">
        <f>CF!T35</f>
        <v>365251.20644838287</v>
      </c>
      <c r="T66" s="15">
        <f>CF!U35</f>
        <v>454630.46477507707</v>
      </c>
      <c r="U66" s="15">
        <f>CF!V35</f>
        <v>563046.75590753602</v>
      </c>
      <c r="V66" s="15">
        <f>CF!W35</f>
        <v>630926.22825905366</v>
      </c>
      <c r="W66" s="15">
        <f>CF!X35</f>
        <v>709947.3915082647</v>
      </c>
      <c r="X66" s="15">
        <f>CF!Y35</f>
        <v>806904.69746654422</v>
      </c>
    </row>
    <row r="67" spans="1:24" x14ac:dyDescent="0.2">
      <c r="D67" s="80"/>
    </row>
    <row r="68" spans="1:24" x14ac:dyDescent="0.2">
      <c r="A68" s="25" t="s">
        <v>240</v>
      </c>
      <c r="D68" s="80"/>
    </row>
    <row r="69" spans="1:24" x14ac:dyDescent="0.2">
      <c r="B69" s="1" t="s">
        <v>258</v>
      </c>
      <c r="D69" s="80" t="s">
        <v>117</v>
      </c>
      <c r="E69" s="15">
        <f>E9</f>
        <v>1170</v>
      </c>
      <c r="F69" s="15">
        <f t="shared" ref="F69:X69" si="36">F9</f>
        <v>1170</v>
      </c>
      <c r="G69" s="15">
        <f t="shared" si="36"/>
        <v>1170</v>
      </c>
      <c r="H69" s="15">
        <f t="shared" si="36"/>
        <v>1170</v>
      </c>
      <c r="I69" s="15">
        <f t="shared" si="36"/>
        <v>1170</v>
      </c>
      <c r="J69" s="15">
        <f t="shared" si="36"/>
        <v>2170</v>
      </c>
      <c r="K69" s="15">
        <f t="shared" si="36"/>
        <v>2220</v>
      </c>
      <c r="L69" s="15">
        <f t="shared" si="36"/>
        <v>2220</v>
      </c>
      <c r="M69" s="15">
        <f t="shared" si="36"/>
        <v>2270</v>
      </c>
      <c r="N69" s="15">
        <f t="shared" si="36"/>
        <v>2270</v>
      </c>
      <c r="O69" s="15">
        <f t="shared" si="36"/>
        <v>2320</v>
      </c>
      <c r="P69" s="15">
        <f t="shared" si="36"/>
        <v>2320</v>
      </c>
      <c r="Q69" s="15">
        <f t="shared" si="36"/>
        <v>2370</v>
      </c>
      <c r="R69" s="15">
        <f t="shared" si="36"/>
        <v>2370</v>
      </c>
      <c r="S69" s="15">
        <f t="shared" si="36"/>
        <v>2370</v>
      </c>
      <c r="T69" s="15">
        <f t="shared" si="36"/>
        <v>2370</v>
      </c>
      <c r="U69" s="15">
        <f t="shared" si="36"/>
        <v>2370</v>
      </c>
      <c r="V69" s="15">
        <f t="shared" si="36"/>
        <v>2370</v>
      </c>
      <c r="W69" s="15">
        <f t="shared" si="36"/>
        <v>2370</v>
      </c>
      <c r="X69" s="15">
        <f t="shared" si="36"/>
        <v>2370</v>
      </c>
    </row>
    <row r="70" spans="1:24" x14ac:dyDescent="0.2">
      <c r="B70" s="1" t="s">
        <v>259</v>
      </c>
      <c r="D70" s="80" t="s">
        <v>117</v>
      </c>
      <c r="E70" s="15">
        <f>E37</f>
        <v>18503.997110209872</v>
      </c>
      <c r="F70" s="15">
        <f t="shared" ref="F70:X70" si="37">F37</f>
        <v>19565.59480312316</v>
      </c>
      <c r="G70" s="15">
        <f t="shared" si="37"/>
        <v>20688.097696944467</v>
      </c>
      <c r="H70" s="15">
        <f t="shared" si="37"/>
        <v>21874.999999999996</v>
      </c>
      <c r="I70" s="15">
        <f t="shared" si="37"/>
        <v>23129.996387762338</v>
      </c>
      <c r="J70" s="15">
        <f t="shared" si="37"/>
        <v>24456.993503903945</v>
      </c>
      <c r="K70" s="15">
        <f t="shared" si="37"/>
        <v>7356.1250109707116</v>
      </c>
      <c r="L70" s="15">
        <f t="shared" si="37"/>
        <v>-4.4803123165365832E-2</v>
      </c>
      <c r="M70" s="15">
        <f t="shared" si="37"/>
        <v>-4.7373534947446075E-2</v>
      </c>
      <c r="N70" s="15">
        <f t="shared" si="37"/>
        <v>-5.0091414501026776E-2</v>
      </c>
      <c r="O70" s="15">
        <f t="shared" si="37"/>
        <v>-5.2965222238475676E-2</v>
      </c>
      <c r="P70" s="15">
        <f t="shared" si="37"/>
        <v>-5.600390395670729E-2</v>
      </c>
      <c r="Q70" s="15">
        <f t="shared" si="37"/>
        <v>-26401.159216918681</v>
      </c>
      <c r="R70" s="15">
        <f t="shared" si="37"/>
        <v>-27915.827077488801</v>
      </c>
      <c r="S70" s="15">
        <f t="shared" si="37"/>
        <v>-29517.393346912642</v>
      </c>
      <c r="T70" s="15">
        <f t="shared" si="37"/>
        <v>-31210.843496697122</v>
      </c>
      <c r="U70" s="15">
        <f t="shared" si="37"/>
        <v>-33001.44902114835</v>
      </c>
      <c r="V70" s="15">
        <f t="shared" si="37"/>
        <v>-34894.783846860999</v>
      </c>
      <c r="W70" s="15">
        <f t="shared" si="37"/>
        <v>-36896.741683640801</v>
      </c>
      <c r="X70" s="15">
        <f t="shared" si="37"/>
        <v>-39013.554370871403</v>
      </c>
    </row>
    <row r="71" spans="1:24" x14ac:dyDescent="0.2">
      <c r="B71" s="28" t="s">
        <v>107</v>
      </c>
      <c r="D71" s="80" t="s">
        <v>117</v>
      </c>
      <c r="E71" s="15">
        <f>SUM(E69:E70)</f>
        <v>19673.997110209872</v>
      </c>
      <c r="F71" s="15">
        <f t="shared" ref="F71:X71" si="38">SUM(F69:F70)</f>
        <v>20735.59480312316</v>
      </c>
      <c r="G71" s="15">
        <f t="shared" si="38"/>
        <v>21858.097696944467</v>
      </c>
      <c r="H71" s="15">
        <f t="shared" si="38"/>
        <v>23044.999999999996</v>
      </c>
      <c r="I71" s="15">
        <f t="shared" si="38"/>
        <v>24299.996387762338</v>
      </c>
      <c r="J71" s="15">
        <f t="shared" si="38"/>
        <v>26626.993503903945</v>
      </c>
      <c r="K71" s="15">
        <f t="shared" si="38"/>
        <v>9576.1250109707107</v>
      </c>
      <c r="L71" s="15">
        <f t="shared" si="38"/>
        <v>2219.9551968768346</v>
      </c>
      <c r="M71" s="15">
        <f t="shared" si="38"/>
        <v>2269.9526264650526</v>
      </c>
      <c r="N71" s="15">
        <f t="shared" si="38"/>
        <v>2269.9499085854991</v>
      </c>
      <c r="O71" s="15">
        <f t="shared" si="38"/>
        <v>2319.9470347777615</v>
      </c>
      <c r="P71" s="15">
        <f t="shared" si="38"/>
        <v>2319.9439960960435</v>
      </c>
      <c r="Q71" s="15">
        <f t="shared" si="38"/>
        <v>-24031.159216918681</v>
      </c>
      <c r="R71" s="15">
        <f>SUM(R69:R70)</f>
        <v>-25545.827077488801</v>
      </c>
      <c r="S71" s="15">
        <f t="shared" si="38"/>
        <v>-27147.393346912642</v>
      </c>
      <c r="T71" s="15">
        <f t="shared" si="38"/>
        <v>-28840.843496697122</v>
      </c>
      <c r="U71" s="15">
        <f t="shared" si="38"/>
        <v>-30631.44902114835</v>
      </c>
      <c r="V71" s="15">
        <f t="shared" si="38"/>
        <v>-32524.783846860999</v>
      </c>
      <c r="W71" s="15">
        <f t="shared" si="38"/>
        <v>-34526.741683640801</v>
      </c>
      <c r="X71" s="15">
        <f t="shared" si="38"/>
        <v>-36643.554370871403</v>
      </c>
    </row>
    <row r="72" spans="1:24" x14ac:dyDescent="0.2">
      <c r="B72" s="1" t="s">
        <v>264</v>
      </c>
      <c r="D72" s="80" t="s">
        <v>123</v>
      </c>
      <c r="E72" s="121">
        <f>IF(E71&gt;0,E69/E71,0)</f>
        <v>5.9469359146791044E-2</v>
      </c>
      <c r="F72" s="121">
        <f t="shared" ref="F72:X72" si="39">IF(F71&gt;0,F69/F71,0)</f>
        <v>5.6424713692021823E-2</v>
      </c>
      <c r="G72" s="121">
        <f>IF(G71&gt;0,G69/G71,0)</f>
        <v>5.3527073408751104E-2</v>
      </c>
      <c r="H72" s="121">
        <f t="shared" si="39"/>
        <v>5.0770232154480371E-2</v>
      </c>
      <c r="I72" s="121">
        <f t="shared" si="39"/>
        <v>4.8148155305455964E-2</v>
      </c>
      <c r="J72" s="121">
        <f t="shared" si="39"/>
        <v>8.1496245517986968E-2</v>
      </c>
      <c r="K72" s="121">
        <f t="shared" si="39"/>
        <v>0.23182654752905774</v>
      </c>
      <c r="L72" s="121">
        <f t="shared" si="39"/>
        <v>1.0000201819943162</v>
      </c>
      <c r="M72" s="121">
        <f t="shared" si="39"/>
        <v>1.0000208698341961</v>
      </c>
      <c r="N72" s="121">
        <f t="shared" si="39"/>
        <v>1.0000220671893734</v>
      </c>
      <c r="O72" s="121">
        <f t="shared" si="39"/>
        <v>1.0000228303583851</v>
      </c>
      <c r="P72" s="121">
        <f t="shared" si="39"/>
        <v>1.0000241401965093</v>
      </c>
      <c r="Q72" s="121">
        <f>IF(Q71&gt;0,Q69/Q71,0)</f>
        <v>0</v>
      </c>
      <c r="R72" s="121">
        <f>IF(R71&gt;0,R69/R71,0)</f>
        <v>0</v>
      </c>
      <c r="S72" s="121">
        <f t="shared" si="39"/>
        <v>0</v>
      </c>
      <c r="T72" s="121">
        <f t="shared" si="39"/>
        <v>0</v>
      </c>
      <c r="U72" s="121">
        <f t="shared" si="39"/>
        <v>0</v>
      </c>
      <c r="V72" s="121">
        <f t="shared" si="39"/>
        <v>0</v>
      </c>
      <c r="W72" s="121">
        <f t="shared" si="39"/>
        <v>0</v>
      </c>
      <c r="X72" s="121">
        <f t="shared" si="39"/>
        <v>0</v>
      </c>
    </row>
    <row r="73" spans="1:24" x14ac:dyDescent="0.2">
      <c r="B73" s="1" t="s">
        <v>260</v>
      </c>
      <c r="D73" s="80" t="s">
        <v>123</v>
      </c>
      <c r="E73" s="121">
        <f t="shared" ref="E73:X73" si="40">IF(E71&gt;0,1-E72,0)</f>
        <v>0.94053064085320892</v>
      </c>
      <c r="F73" s="121">
        <f t="shared" si="40"/>
        <v>0.94357528630797816</v>
      </c>
      <c r="G73" s="121">
        <f>IF(G71&gt;0,1-G72,0)</f>
        <v>0.94647292659124893</v>
      </c>
      <c r="H73" s="121">
        <f t="shared" si="40"/>
        <v>0.9492297678455196</v>
      </c>
      <c r="I73" s="121">
        <f t="shared" si="40"/>
        <v>0.95185184469454409</v>
      </c>
      <c r="J73" s="121">
        <f t="shared" si="40"/>
        <v>0.91850375448201305</v>
      </c>
      <c r="K73" s="121">
        <f t="shared" si="40"/>
        <v>0.76817345247094226</v>
      </c>
      <c r="L73" s="121">
        <f t="shared" si="40"/>
        <v>-2.0181994316192942E-5</v>
      </c>
      <c r="M73" s="121">
        <f t="shared" si="40"/>
        <v>-2.0869834196135528E-5</v>
      </c>
      <c r="N73" s="121">
        <f t="shared" si="40"/>
        <v>-2.2067189373364826E-5</v>
      </c>
      <c r="O73" s="121">
        <f t="shared" si="40"/>
        <v>-2.2830358385128591E-5</v>
      </c>
      <c r="P73" s="121">
        <f t="shared" si="40"/>
        <v>-2.4140196509314649E-5</v>
      </c>
      <c r="Q73" s="121">
        <f t="shared" si="40"/>
        <v>0</v>
      </c>
      <c r="R73" s="121">
        <f t="shared" si="40"/>
        <v>0</v>
      </c>
      <c r="S73" s="121">
        <f t="shared" si="40"/>
        <v>0</v>
      </c>
      <c r="T73" s="121">
        <f t="shared" si="40"/>
        <v>0</v>
      </c>
      <c r="U73" s="121">
        <f t="shared" si="40"/>
        <v>0</v>
      </c>
      <c r="V73" s="121">
        <f t="shared" si="40"/>
        <v>0</v>
      </c>
      <c r="W73" s="121">
        <f t="shared" si="40"/>
        <v>0</v>
      </c>
      <c r="X73" s="121">
        <f t="shared" si="40"/>
        <v>0</v>
      </c>
    </row>
    <row r="74" spans="1:24" x14ac:dyDescent="0.2">
      <c r="B74" s="1" t="s">
        <v>262</v>
      </c>
      <c r="D74" s="80" t="s">
        <v>123</v>
      </c>
      <c r="E74" s="121">
        <f>Окружение!D20</f>
        <v>8.7757305937277152E-2</v>
      </c>
      <c r="F74" s="121">
        <f>Окружение!E20</f>
        <v>8.7757305937277152E-2</v>
      </c>
      <c r="G74" s="121">
        <f>Окружение!F20</f>
        <v>8.7757305937277152E-2</v>
      </c>
      <c r="H74" s="121">
        <f>Окружение!G20</f>
        <v>8.7757305937277152E-2</v>
      </c>
      <c r="I74" s="121">
        <f>Окружение!H20</f>
        <v>8.7757305937277152E-2</v>
      </c>
      <c r="J74" s="121">
        <f>Окружение!I20</f>
        <v>8.7757305937277152E-2</v>
      </c>
      <c r="K74" s="121">
        <f>Окружение!J20</f>
        <v>8.7757305937277152E-2</v>
      </c>
      <c r="L74" s="121">
        <f>Окружение!K20</f>
        <v>8.7757305937277152E-2</v>
      </c>
      <c r="M74" s="121">
        <f>Окружение!L20</f>
        <v>8.7757305937277152E-2</v>
      </c>
      <c r="N74" s="121">
        <f>Окружение!M20</f>
        <v>8.7757305937277152E-2</v>
      </c>
      <c r="O74" s="121">
        <f>Окружение!N20</f>
        <v>8.7757305937277152E-2</v>
      </c>
      <c r="P74" s="121">
        <f>Окружение!O20</f>
        <v>8.7757305937277152E-2</v>
      </c>
      <c r="Q74" s="121">
        <f>Окружение!P20</f>
        <v>8.7757305937277152E-2</v>
      </c>
      <c r="R74" s="121">
        <f>Окружение!Q20</f>
        <v>8.7757305937277152E-2</v>
      </c>
      <c r="S74" s="121">
        <f>Окружение!R20</f>
        <v>8.7757305937277152E-2</v>
      </c>
      <c r="T74" s="121">
        <f>Окружение!S20</f>
        <v>8.7757305937277152E-2</v>
      </c>
      <c r="U74" s="121">
        <f>Окружение!T20</f>
        <v>8.7757305937277152E-2</v>
      </c>
      <c r="V74" s="121">
        <f>Окружение!U20</f>
        <v>8.7757305937277152E-2</v>
      </c>
      <c r="W74" s="121">
        <f>Окружение!V20</f>
        <v>8.7757305937277152E-2</v>
      </c>
      <c r="X74" s="121">
        <f>Окружение!W20</f>
        <v>8.7757305937277152E-2</v>
      </c>
    </row>
    <row r="75" spans="1:24" x14ac:dyDescent="0.2">
      <c r="B75" s="1" t="s">
        <v>261</v>
      </c>
      <c r="D75" s="80" t="s">
        <v>123</v>
      </c>
      <c r="E75" s="121">
        <f>IF(E70&gt;0,E15*(E24/E37)+E27*(E36/E37),0)</f>
        <v>5.7371263440564091E-2</v>
      </c>
      <c r="F75" s="121">
        <f t="shared" ref="F75:W75" si="41">IF(F70&gt;0,F15*(F24/F37)+F27*(F36/F37),0)</f>
        <v>5.7371263440564091E-2</v>
      </c>
      <c r="G75" s="121">
        <f t="shared" si="41"/>
        <v>5.7371263440564091E-2</v>
      </c>
      <c r="H75" s="121">
        <f t="shared" si="41"/>
        <v>5.7371263440564091E-2</v>
      </c>
      <c r="I75" s="121">
        <f t="shared" si="41"/>
        <v>5.7371263440564091E-2</v>
      </c>
      <c r="J75" s="121">
        <f t="shared" si="41"/>
        <v>5.7371263440564091E-2</v>
      </c>
      <c r="K75" s="121">
        <f t="shared" si="41"/>
        <v>5.7371263440564091E-2</v>
      </c>
      <c r="L75" s="121">
        <f t="shared" si="41"/>
        <v>0</v>
      </c>
      <c r="M75" s="121">
        <f t="shared" si="41"/>
        <v>0</v>
      </c>
      <c r="N75" s="121">
        <f t="shared" si="41"/>
        <v>0</v>
      </c>
      <c r="O75" s="121">
        <f t="shared" si="41"/>
        <v>0</v>
      </c>
      <c r="P75" s="121">
        <f t="shared" si="41"/>
        <v>0</v>
      </c>
      <c r="Q75" s="121">
        <f t="shared" si="41"/>
        <v>0</v>
      </c>
      <c r="R75" s="121">
        <f t="shared" si="41"/>
        <v>0</v>
      </c>
      <c r="S75" s="121">
        <f t="shared" si="41"/>
        <v>0</v>
      </c>
      <c r="T75" s="121">
        <f t="shared" si="41"/>
        <v>0</v>
      </c>
      <c r="U75" s="121">
        <f t="shared" si="41"/>
        <v>0</v>
      </c>
      <c r="V75" s="121">
        <f t="shared" si="41"/>
        <v>0</v>
      </c>
      <c r="W75" s="121">
        <f t="shared" si="41"/>
        <v>0</v>
      </c>
      <c r="X75" s="121">
        <f>IF(X70&gt;0,X15*(X24/X37)+X27*(X36/X37),0)</f>
        <v>0</v>
      </c>
    </row>
    <row r="76" spans="1:24" s="28" customFormat="1" x14ac:dyDescent="0.2">
      <c r="B76" s="28" t="s">
        <v>263</v>
      </c>
      <c r="D76" s="80" t="s">
        <v>123</v>
      </c>
      <c r="E76" s="122">
        <f>E74*E72+E75*E73*(1-Окружение!D16)</f>
        <v>4.8386415680788372E-2</v>
      </c>
      <c r="F76" s="122">
        <f>F74*F72+F75*F73*(1-Окружение!E16)</f>
        <v>4.8258965923318589E-2</v>
      </c>
      <c r="G76" s="122">
        <f>G74*G72+G75*G73*(1-Окружение!F16)</f>
        <v>4.8137669845721438E-2</v>
      </c>
      <c r="H76" s="122">
        <f>H74*H72+H75*H73*(1-Окружение!G16)</f>
        <v>4.8022267657039958E-2</v>
      </c>
      <c r="I76" s="122">
        <f>I74*I72+I75*I73*(1-Окружение!H16)</f>
        <v>4.7912506746142502E-2</v>
      </c>
      <c r="J76" s="122">
        <f>J74*J72+J75*J73*(1-Окружение!I16)</f>
        <v>4.9308467646289253E-2</v>
      </c>
      <c r="K76" s="122">
        <f>K74*K72+K75*K73*(1-Окружение!J16)</f>
        <v>5.5601338463696699E-2</v>
      </c>
      <c r="L76" s="122">
        <f>L74*L72+L75*L73*(1-Окружение!K16)</f>
        <v>8.7759077054726783E-2</v>
      </c>
      <c r="M76" s="122">
        <f>M74*M72+M75*M73*(1-Окружение!L16)</f>
        <v>8.7759137417701569E-2</v>
      </c>
      <c r="N76" s="122">
        <f>N74*N72+N75*N73*(1-Окружение!M16)</f>
        <v>8.775924249436616E-2</v>
      </c>
      <c r="O76" s="122">
        <f>O74*O72+O75*O73*(1-Окружение!N16)</f>
        <v>8.7759309468022614E-2</v>
      </c>
      <c r="P76" s="122">
        <f>P74*P72+P75*P73*(1-Окружение!O16)</f>
        <v>8.7759424415887605E-2</v>
      </c>
      <c r="Q76" s="122">
        <f>Q74*Q72+Q75*Q73*(1-Окружение!P16)</f>
        <v>0</v>
      </c>
      <c r="R76" s="122">
        <f>R74*R72+R75*R73*(1-Окружение!Q16)</f>
        <v>0</v>
      </c>
      <c r="S76" s="122">
        <f>S74*S72+S75*S73*(1-Окружение!R16)</f>
        <v>0</v>
      </c>
      <c r="T76" s="122">
        <f>T74*T72+T75*T73*(1-Окружение!S16)</f>
        <v>0</v>
      </c>
      <c r="U76" s="122">
        <f>U74*U72+U75*U73*(1-Окружение!T16)</f>
        <v>0</v>
      </c>
      <c r="V76" s="122">
        <f>V74*V72+V75*V73*(1-Окружение!U16)</f>
        <v>0</v>
      </c>
      <c r="W76" s="122">
        <f>W74*W72+W75*W73*(1-Окружение!V16)</f>
        <v>0</v>
      </c>
      <c r="X76" s="122">
        <f>X74*X72+X75*X73*(1-Окружение!W16)</f>
        <v>0</v>
      </c>
    </row>
    <row r="77" spans="1:24" x14ac:dyDescent="0.2">
      <c r="D77" s="80"/>
    </row>
    <row r="78" spans="1:24" hidden="1" x14ac:dyDescent="0.2">
      <c r="D78" s="80"/>
      <c r="E78" s="273">
        <f>Окружение!D4</f>
        <v>2014</v>
      </c>
      <c r="F78" s="274">
        <f>E78+1</f>
        <v>2015</v>
      </c>
      <c r="G78" s="275">
        <f>F78+1</f>
        <v>2016</v>
      </c>
      <c r="H78" s="276">
        <f>G78+1</f>
        <v>2017</v>
      </c>
      <c r="I78" s="277">
        <f>H78+1</f>
        <v>2018</v>
      </c>
    </row>
    <row r="79" spans="1:24" s="95" customFormat="1" hidden="1" x14ac:dyDescent="0.2">
      <c r="B79" s="95" t="s">
        <v>481</v>
      </c>
      <c r="D79" s="143"/>
      <c r="E79" s="269">
        <f>AVERAGE(E76:H76)</f>
        <v>4.8201329776717088E-2</v>
      </c>
      <c r="F79" s="269">
        <f>AVERAGE(I76:L76)</f>
        <v>6.0145347477713815E-2</v>
      </c>
      <c r="G79" s="269">
        <f>AVERAGE(M76:P76)</f>
        <v>8.7759278448994477E-2</v>
      </c>
      <c r="H79" s="269">
        <f>AVERAGE(Q76:T76)</f>
        <v>0</v>
      </c>
      <c r="I79" s="269">
        <f>AVERAGE(U76:X76)</f>
        <v>0</v>
      </c>
    </row>
    <row r="80" spans="1:24" hidden="1" x14ac:dyDescent="0.2">
      <c r="B80" s="95" t="s">
        <v>482</v>
      </c>
      <c r="C80" s="95"/>
      <c r="D80" s="95"/>
      <c r="E80" s="272">
        <f>(1+E79)^4-1</f>
        <v>0.20719888404579612</v>
      </c>
      <c r="F80" s="272">
        <f>(1+F79)^4-1</f>
        <v>0.26316954712138196</v>
      </c>
      <c r="G80" s="272">
        <f>(1+G79)^4-1</f>
        <v>0.40001015492665704</v>
      </c>
      <c r="H80" s="272">
        <f>(1+H79)^4-1</f>
        <v>0</v>
      </c>
      <c r="I80" s="272">
        <f>(1+I79)^4-1</f>
        <v>0</v>
      </c>
      <c r="J80" s="95"/>
      <c r="K80" s="95"/>
      <c r="M80" s="271"/>
      <c r="N80" s="270"/>
    </row>
    <row r="82" spans="2:25" s="95" customFormat="1" hidden="1" x14ac:dyDescent="0.2">
      <c r="B82" s="95" t="s">
        <v>512</v>
      </c>
      <c r="E82" s="278">
        <f t="shared" ref="E82:X82" si="42">E6+E7+E8+E16+E28+E43+E55</f>
        <v>18670</v>
      </c>
      <c r="F82" s="278">
        <f t="shared" si="42"/>
        <v>0</v>
      </c>
      <c r="G82" s="278">
        <f t="shared" si="42"/>
        <v>0</v>
      </c>
      <c r="H82" s="278">
        <f t="shared" si="42"/>
        <v>0</v>
      </c>
      <c r="I82" s="278">
        <f t="shared" si="42"/>
        <v>0</v>
      </c>
      <c r="J82" s="278">
        <f t="shared" si="42"/>
        <v>1000</v>
      </c>
      <c r="K82" s="278">
        <f t="shared" si="42"/>
        <v>0</v>
      </c>
      <c r="L82" s="278">
        <f t="shared" si="42"/>
        <v>0</v>
      </c>
      <c r="M82" s="278">
        <f t="shared" si="42"/>
        <v>50</v>
      </c>
      <c r="N82" s="278">
        <f t="shared" si="42"/>
        <v>0</v>
      </c>
      <c r="O82" s="278">
        <f t="shared" si="42"/>
        <v>0</v>
      </c>
      <c r="P82" s="278">
        <f t="shared" si="42"/>
        <v>0</v>
      </c>
      <c r="Q82" s="278">
        <f t="shared" si="42"/>
        <v>50</v>
      </c>
      <c r="R82" s="278">
        <f t="shared" si="42"/>
        <v>0</v>
      </c>
      <c r="S82" s="278">
        <f t="shared" si="42"/>
        <v>0</v>
      </c>
      <c r="T82" s="278">
        <f t="shared" si="42"/>
        <v>0</v>
      </c>
      <c r="U82" s="278">
        <f t="shared" si="42"/>
        <v>0</v>
      </c>
      <c r="V82" s="278">
        <f t="shared" si="42"/>
        <v>0</v>
      </c>
      <c r="W82" s="278">
        <f t="shared" si="42"/>
        <v>0</v>
      </c>
      <c r="X82" s="278">
        <f t="shared" si="42"/>
        <v>0</v>
      </c>
    </row>
    <row r="83" spans="2:25" hidden="1" x14ac:dyDescent="0.2">
      <c r="B83" s="95" t="s">
        <v>270</v>
      </c>
      <c r="C83" s="95"/>
      <c r="D83" s="95"/>
      <c r="E83" s="279">
        <f>(1+E76)</f>
        <v>1.0483864156807883</v>
      </c>
      <c r="F83" s="279">
        <f>E83*1/(1+F76)</f>
        <v>1.0001215823204122</v>
      </c>
      <c r="G83" s="279">
        <f t="shared" ref="G83:X83" si="43">F83*1/(1+G76)</f>
        <v>0.95418914050443682</v>
      </c>
      <c r="H83" s="279">
        <f t="shared" si="43"/>
        <v>0.91046647571489436</v>
      </c>
      <c r="I83" s="279">
        <f t="shared" si="43"/>
        <v>0.86883825687124416</v>
      </c>
      <c r="J83" s="279">
        <f t="shared" si="43"/>
        <v>0.82801033600742879</v>
      </c>
      <c r="K83" s="279">
        <f t="shared" si="43"/>
        <v>0.78439682277449574</v>
      </c>
      <c r="L83" s="279">
        <f t="shared" si="43"/>
        <v>0.72111264279068998</v>
      </c>
      <c r="M83" s="279">
        <f t="shared" si="43"/>
        <v>0.66293411655689116</v>
      </c>
      <c r="N83" s="279">
        <f t="shared" si="43"/>
        <v>0.60944930703296207</v>
      </c>
      <c r="O83" s="279">
        <f t="shared" si="43"/>
        <v>0.560279559759427</v>
      </c>
      <c r="P83" s="279">
        <f t="shared" si="43"/>
        <v>0.51507672301739849</v>
      </c>
      <c r="Q83" s="279">
        <f t="shared" si="43"/>
        <v>0.51507672301739849</v>
      </c>
      <c r="R83" s="279">
        <f t="shared" si="43"/>
        <v>0.51507672301739849</v>
      </c>
      <c r="S83" s="279">
        <f t="shared" si="43"/>
        <v>0.51507672301739849</v>
      </c>
      <c r="T83" s="279">
        <f t="shared" si="43"/>
        <v>0.51507672301739849</v>
      </c>
      <c r="U83" s="279">
        <f t="shared" si="43"/>
        <v>0.51507672301739849</v>
      </c>
      <c r="V83" s="279">
        <f t="shared" si="43"/>
        <v>0.51507672301739849</v>
      </c>
      <c r="W83" s="279">
        <f t="shared" si="43"/>
        <v>0.51507672301739849</v>
      </c>
      <c r="X83" s="279">
        <f t="shared" si="43"/>
        <v>0.51507672301739849</v>
      </c>
    </row>
    <row r="84" spans="2:25" hidden="1" x14ac:dyDescent="0.2">
      <c r="B84" s="95" t="s">
        <v>511</v>
      </c>
      <c r="C84" s="95"/>
      <c r="D84" s="95"/>
      <c r="E84" s="95">
        <f>E82*E83</f>
        <v>19573.374380760317</v>
      </c>
      <c r="F84" s="95">
        <f t="shared" ref="F84:X84" si="44">F82*F83</f>
        <v>0</v>
      </c>
      <c r="G84" s="95">
        <f t="shared" si="44"/>
        <v>0</v>
      </c>
      <c r="H84" s="95">
        <f t="shared" si="44"/>
        <v>0</v>
      </c>
      <c r="I84" s="95">
        <f t="shared" si="44"/>
        <v>0</v>
      </c>
      <c r="J84" s="95">
        <f t="shared" si="44"/>
        <v>828.0103360074288</v>
      </c>
      <c r="K84" s="95">
        <f t="shared" si="44"/>
        <v>0</v>
      </c>
      <c r="L84" s="95">
        <f t="shared" si="44"/>
        <v>0</v>
      </c>
      <c r="M84" s="95">
        <f t="shared" si="44"/>
        <v>33.146705827844556</v>
      </c>
      <c r="N84" s="95">
        <f t="shared" si="44"/>
        <v>0</v>
      </c>
      <c r="O84" s="95">
        <f t="shared" si="44"/>
        <v>0</v>
      </c>
      <c r="P84" s="95">
        <f t="shared" si="44"/>
        <v>0</v>
      </c>
      <c r="Q84" s="95">
        <f t="shared" si="44"/>
        <v>25.753836150869923</v>
      </c>
      <c r="R84" s="95">
        <f t="shared" si="44"/>
        <v>0</v>
      </c>
      <c r="S84" s="95">
        <f t="shared" si="44"/>
        <v>0</v>
      </c>
      <c r="T84" s="95">
        <f t="shared" si="44"/>
        <v>0</v>
      </c>
      <c r="U84" s="95">
        <f t="shared" si="44"/>
        <v>0</v>
      </c>
      <c r="V84" s="95">
        <f t="shared" si="44"/>
        <v>0</v>
      </c>
      <c r="W84" s="95">
        <f t="shared" si="44"/>
        <v>0</v>
      </c>
      <c r="X84" s="95">
        <f t="shared" si="44"/>
        <v>0</v>
      </c>
      <c r="Y84" s="280">
        <f>SUM(E84:X84)</f>
        <v>20460.285258746459</v>
      </c>
    </row>
  </sheetData>
  <phoneticPr fontId="0" type="noConversion"/>
  <hyperlinks>
    <hyperlink ref="C1" r:id="rId1"/>
  </hyperlinks>
  <pageMargins left="0.75" right="0.75" top="1" bottom="1" header="0.5" footer="0.5"/>
  <pageSetup paperSize="9" orientation="portrait" horizontalDpi="300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30"/>
  <sheetViews>
    <sheetView zoomScale="85" zoomScaleNormal="85" workbookViewId="0">
      <selection activeCell="B1" sqref="B1"/>
    </sheetView>
  </sheetViews>
  <sheetFormatPr defaultRowHeight="12.75" x14ac:dyDescent="0.2"/>
  <cols>
    <col min="1" max="1" width="2.85546875" style="158" customWidth="1"/>
    <col min="2" max="2" width="39" style="158" customWidth="1"/>
    <col min="3" max="3" width="30.7109375" style="158" customWidth="1"/>
    <col min="4" max="4" width="33.42578125" style="158" customWidth="1"/>
    <col min="5" max="5" width="41.140625" style="158" customWidth="1"/>
    <col min="6" max="6" width="22.85546875" style="158" customWidth="1"/>
    <col min="7" max="7" width="17" style="158" customWidth="1"/>
    <col min="8" max="16384" width="9.140625" style="158"/>
  </cols>
  <sheetData>
    <row r="1" spans="1:7" ht="18" x14ac:dyDescent="0.25">
      <c r="B1" s="319" t="s">
        <v>573</v>
      </c>
    </row>
    <row r="2" spans="1:7" x14ac:dyDescent="0.2">
      <c r="A2" s="11" t="s">
        <v>498</v>
      </c>
      <c r="B2" s="11"/>
      <c r="C2" s="11"/>
      <c r="D2" s="11"/>
      <c r="E2" s="11"/>
      <c r="F2" s="11"/>
      <c r="G2" s="11"/>
    </row>
    <row r="4" spans="1:7" x14ac:dyDescent="0.2">
      <c r="B4" s="261" t="s">
        <v>499</v>
      </c>
      <c r="C4" s="261"/>
      <c r="D4" s="322" t="s">
        <v>500</v>
      </c>
      <c r="E4" s="322" t="s">
        <v>501</v>
      </c>
    </row>
    <row r="5" spans="1:7" x14ac:dyDescent="0.2">
      <c r="B5" s="246" t="s">
        <v>502</v>
      </c>
      <c r="C5" s="246" t="s">
        <v>503</v>
      </c>
      <c r="D5" s="323"/>
      <c r="E5" s="323"/>
    </row>
    <row r="6" spans="1:7" x14ac:dyDescent="0.2">
      <c r="B6" s="242" t="s">
        <v>504</v>
      </c>
      <c r="C6" s="317" t="s">
        <v>312</v>
      </c>
      <c r="D6" s="317"/>
      <c r="E6" s="317"/>
    </row>
    <row r="7" spans="1:7" ht="38.25" x14ac:dyDescent="0.2">
      <c r="B7" s="242" t="s">
        <v>409</v>
      </c>
      <c r="C7" s="317" t="s">
        <v>55</v>
      </c>
      <c r="D7" s="317" t="s">
        <v>5</v>
      </c>
      <c r="E7" s="317" t="s">
        <v>56</v>
      </c>
    </row>
    <row r="8" spans="1:7" ht="25.5" x14ac:dyDescent="0.2">
      <c r="B8" s="242" t="s">
        <v>505</v>
      </c>
      <c r="C8" s="317" t="s">
        <v>0</v>
      </c>
      <c r="D8" s="317" t="s">
        <v>10</v>
      </c>
      <c r="E8" s="317" t="s">
        <v>14</v>
      </c>
    </row>
    <row r="9" spans="1:7" ht="25.5" x14ac:dyDescent="0.2">
      <c r="B9" s="242" t="s">
        <v>506</v>
      </c>
      <c r="C9" s="317" t="s">
        <v>57</v>
      </c>
      <c r="D9" s="317" t="s">
        <v>4</v>
      </c>
      <c r="E9" s="317" t="s">
        <v>58</v>
      </c>
    </row>
    <row r="10" spans="1:7" x14ac:dyDescent="0.2">
      <c r="B10" s="242" t="s">
        <v>410</v>
      </c>
      <c r="C10" s="317" t="s">
        <v>59</v>
      </c>
      <c r="D10" s="317" t="s">
        <v>6</v>
      </c>
      <c r="E10" s="317" t="s">
        <v>60</v>
      </c>
    </row>
    <row r="11" spans="1:7" ht="38.25" x14ac:dyDescent="0.2">
      <c r="B11" s="242" t="s">
        <v>411</v>
      </c>
      <c r="C11" s="317" t="s">
        <v>61</v>
      </c>
      <c r="D11" s="317" t="s">
        <v>7</v>
      </c>
      <c r="E11" s="317" t="s">
        <v>15</v>
      </c>
    </row>
    <row r="12" spans="1:7" ht="25.5" x14ac:dyDescent="0.2">
      <c r="B12" s="242" t="s">
        <v>507</v>
      </c>
      <c r="C12" s="317" t="s">
        <v>62</v>
      </c>
      <c r="D12" s="317" t="s">
        <v>8</v>
      </c>
      <c r="E12" s="317" t="s">
        <v>63</v>
      </c>
    </row>
    <row r="13" spans="1:7" ht="38.25" x14ac:dyDescent="0.2">
      <c r="B13" s="242" t="s">
        <v>412</v>
      </c>
      <c r="C13" s="317" t="s">
        <v>1</v>
      </c>
      <c r="D13" s="317" t="s">
        <v>9</v>
      </c>
      <c r="E13" s="317" t="s">
        <v>64</v>
      </c>
    </row>
    <row r="14" spans="1:7" ht="51" x14ac:dyDescent="0.2">
      <c r="B14" s="242" t="s">
        <v>508</v>
      </c>
      <c r="C14" s="317" t="s">
        <v>2</v>
      </c>
      <c r="D14" s="317" t="s">
        <v>10</v>
      </c>
      <c r="E14" s="317" t="s">
        <v>17</v>
      </c>
    </row>
    <row r="15" spans="1:7" ht="25.5" x14ac:dyDescent="0.2">
      <c r="B15" s="242" t="s">
        <v>413</v>
      </c>
      <c r="C15" s="317" t="s">
        <v>11</v>
      </c>
      <c r="D15" s="317" t="s">
        <v>12</v>
      </c>
      <c r="E15" s="317" t="s">
        <v>16</v>
      </c>
    </row>
    <row r="16" spans="1:7" ht="38.25" x14ac:dyDescent="0.2">
      <c r="B16" s="242" t="s">
        <v>509</v>
      </c>
      <c r="C16" s="317" t="s">
        <v>3</v>
      </c>
      <c r="D16" s="317" t="s">
        <v>13</v>
      </c>
      <c r="E16" s="317" t="s">
        <v>18</v>
      </c>
    </row>
    <row r="17" spans="1:7" x14ac:dyDescent="0.2">
      <c r="B17" s="162"/>
      <c r="C17" s="162"/>
      <c r="D17" s="162"/>
      <c r="E17" s="162"/>
    </row>
    <row r="18" spans="1:7" x14ac:dyDescent="0.2">
      <c r="B18" s="162"/>
      <c r="C18" s="162"/>
      <c r="D18" s="162"/>
      <c r="E18" s="162"/>
    </row>
    <row r="19" spans="1:7" x14ac:dyDescent="0.2">
      <c r="B19" s="162"/>
      <c r="C19" s="162"/>
      <c r="D19" s="162"/>
      <c r="E19" s="162"/>
    </row>
    <row r="20" spans="1:7" x14ac:dyDescent="0.2">
      <c r="A20" s="11" t="s">
        <v>510</v>
      </c>
      <c r="B20" s="11"/>
      <c r="C20" s="11"/>
      <c r="D20" s="11"/>
      <c r="E20" s="11"/>
      <c r="F20" s="11"/>
      <c r="G20" s="11"/>
    </row>
    <row r="22" spans="1:7" x14ac:dyDescent="0.2">
      <c r="B22" s="158" t="s">
        <v>402</v>
      </c>
      <c r="C22" s="244">
        <v>382286.31671761244</v>
      </c>
      <c r="D22" s="245" t="s">
        <v>117</v>
      </c>
    </row>
    <row r="24" spans="1:7" x14ac:dyDescent="0.2">
      <c r="B24" s="246" t="s">
        <v>403</v>
      </c>
      <c r="C24" s="246" t="s">
        <v>404</v>
      </c>
      <c r="D24" s="246" t="s">
        <v>469</v>
      </c>
      <c r="E24" s="246" t="s">
        <v>405</v>
      </c>
      <c r="F24" s="246" t="s">
        <v>408</v>
      </c>
      <c r="G24" s="246" t="s">
        <v>406</v>
      </c>
    </row>
    <row r="25" spans="1:7" x14ac:dyDescent="0.2">
      <c r="B25" s="243">
        <v>1</v>
      </c>
      <c r="C25" s="243">
        <v>2</v>
      </c>
      <c r="D25" s="243">
        <v>3</v>
      </c>
      <c r="E25" s="243">
        <v>4</v>
      </c>
      <c r="F25" s="243" t="s">
        <v>407</v>
      </c>
      <c r="G25" s="243">
        <v>6</v>
      </c>
    </row>
    <row r="26" spans="1:7" x14ac:dyDescent="0.2">
      <c r="B26" s="249" t="s">
        <v>68</v>
      </c>
      <c r="C26" s="264">
        <v>0.1</v>
      </c>
      <c r="D26" s="263">
        <v>318624</v>
      </c>
      <c r="E26" s="247">
        <f>IF($C$22=0,0,(D26-$C$22)/$C$22)</f>
        <v>-0.16653046142019928</v>
      </c>
      <c r="F26" s="248">
        <f>IF(C26=0,0,E26/C26)</f>
        <v>-1.6653046142019927</v>
      </c>
      <c r="G26" s="263">
        <v>1</v>
      </c>
    </row>
    <row r="27" spans="1:7" x14ac:dyDescent="0.2">
      <c r="B27" s="158" t="s">
        <v>69</v>
      </c>
      <c r="C27" s="264">
        <v>0.1</v>
      </c>
      <c r="D27" s="263">
        <v>331220</v>
      </c>
      <c r="E27" s="247">
        <f>IF($C$22=0,0,(D27-$C$22)/$C$22)</f>
        <v>-0.1335813354662499</v>
      </c>
      <c r="F27" s="248">
        <f>IF(C27=0,0,E27/C27)</f>
        <v>-1.3358133546624988</v>
      </c>
      <c r="G27" s="263">
        <v>3</v>
      </c>
    </row>
    <row r="28" spans="1:7" x14ac:dyDescent="0.2">
      <c r="B28" s="249" t="s">
        <v>109</v>
      </c>
      <c r="C28" s="264">
        <v>0.1</v>
      </c>
      <c r="D28" s="263">
        <v>328117</v>
      </c>
      <c r="E28" s="247">
        <f>IF($C$22=0,0,(D28-$C$22)/$C$22)</f>
        <v>-0.14169828829533093</v>
      </c>
      <c r="F28" s="248">
        <f>IF(C28=0,0,E28/C28)</f>
        <v>-1.4169828829533093</v>
      </c>
      <c r="G28" s="263">
        <v>2</v>
      </c>
    </row>
    <row r="29" spans="1:7" x14ac:dyDescent="0.2">
      <c r="B29" s="249" t="s">
        <v>67</v>
      </c>
      <c r="C29" s="264">
        <v>0.1</v>
      </c>
      <c r="D29" s="263">
        <v>372567</v>
      </c>
      <c r="E29" s="247">
        <f>IF($C$22=0,0,(D29-$C$22)/$C$22)</f>
        <v>-2.5424181542945241E-2</v>
      </c>
      <c r="F29" s="248">
        <f>IF(C29=0,0,E29/C29)</f>
        <v>-0.2542418154294524</v>
      </c>
      <c r="G29" s="263">
        <v>5</v>
      </c>
    </row>
    <row r="30" spans="1:7" x14ac:dyDescent="0.2">
      <c r="B30" s="249" t="s">
        <v>66</v>
      </c>
      <c r="C30" s="264">
        <v>0.1</v>
      </c>
      <c r="D30" s="263">
        <v>359819</v>
      </c>
      <c r="E30" s="247">
        <f>IF($C$22=0,0,(D30-$C$22)/$C$22)</f>
        <v>-5.8770915241019774E-2</v>
      </c>
      <c r="F30" s="248">
        <f>IF(C30=0,0,E30/C30)</f>
        <v>-0.58770915241019772</v>
      </c>
      <c r="G30" s="263">
        <v>4</v>
      </c>
    </row>
  </sheetData>
  <mergeCells count="2">
    <mergeCell ref="D4:D5"/>
    <mergeCell ref="E4:E5"/>
  </mergeCells>
  <hyperlinks>
    <hyperlink ref="B1" r:id="rId1"/>
  </hyperlinks>
  <pageMargins left="0.70866141732283472" right="0.70866141732283472" top="0.33" bottom="0.33" header="0.31496062992125984" footer="0.31496062992125984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zoomScale="85" zoomScaleNormal="85" workbookViewId="0">
      <selection activeCell="D1" sqref="D1"/>
    </sheetView>
  </sheetViews>
  <sheetFormatPr defaultRowHeight="12.75" x14ac:dyDescent="0.2"/>
  <cols>
    <col min="1" max="1" width="2.7109375" style="1" customWidth="1"/>
    <col min="2" max="2" width="4" style="1" customWidth="1"/>
    <col min="3" max="3" width="9.140625" style="1" customWidth="1"/>
    <col min="4" max="4" width="27.85546875" style="1" customWidth="1"/>
    <col min="5" max="5" width="9" style="1" customWidth="1"/>
    <col min="6" max="16384" width="9.140625" style="1"/>
  </cols>
  <sheetData>
    <row r="1" spans="1:26" ht="18" x14ac:dyDescent="0.25">
      <c r="D1" s="319" t="s">
        <v>573</v>
      </c>
    </row>
    <row r="2" spans="1:26" x14ac:dyDescent="0.2">
      <c r="A2" s="324" t="s">
        <v>452</v>
      </c>
      <c r="B2" s="324"/>
      <c r="C2" s="324"/>
      <c r="D2" s="324"/>
      <c r="E2" s="2" t="s">
        <v>108</v>
      </c>
      <c r="F2" s="3" t="s">
        <v>87</v>
      </c>
      <c r="G2" s="3" t="s">
        <v>88</v>
      </c>
      <c r="H2" s="3" t="s">
        <v>89</v>
      </c>
      <c r="I2" s="3" t="s">
        <v>90</v>
      </c>
      <c r="J2" s="4" t="s">
        <v>91</v>
      </c>
      <c r="K2" s="4" t="s">
        <v>92</v>
      </c>
      <c r="L2" s="4" t="s">
        <v>93</v>
      </c>
      <c r="M2" s="4" t="s">
        <v>94</v>
      </c>
      <c r="N2" s="5" t="s">
        <v>95</v>
      </c>
      <c r="O2" s="5" t="s">
        <v>96</v>
      </c>
      <c r="P2" s="5" t="s">
        <v>97</v>
      </c>
      <c r="Q2" s="5" t="s">
        <v>98</v>
      </c>
      <c r="R2" s="6" t="s">
        <v>99</v>
      </c>
      <c r="S2" s="6" t="s">
        <v>100</v>
      </c>
      <c r="T2" s="6" t="s">
        <v>101</v>
      </c>
      <c r="U2" s="6" t="s">
        <v>102</v>
      </c>
      <c r="V2" s="7" t="s">
        <v>103</v>
      </c>
      <c r="W2" s="7" t="s">
        <v>104</v>
      </c>
      <c r="X2" s="7" t="s">
        <v>105</v>
      </c>
      <c r="Y2" s="7" t="s">
        <v>106</v>
      </c>
    </row>
    <row r="3" spans="1:26" x14ac:dyDescent="0.2">
      <c r="E3" s="2"/>
    </row>
    <row r="4" spans="1:26" x14ac:dyDescent="0.2">
      <c r="A4" s="62"/>
      <c r="B4" s="135" t="s">
        <v>214</v>
      </c>
      <c r="C4" s="62"/>
      <c r="D4" s="62"/>
      <c r="E4" s="63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</row>
    <row r="5" spans="1:26" x14ac:dyDescent="0.2">
      <c r="B5" s="136" t="s">
        <v>215</v>
      </c>
    </row>
    <row r="6" spans="1:26" x14ac:dyDescent="0.2">
      <c r="C6" s="137" t="s">
        <v>216</v>
      </c>
      <c r="E6" s="80" t="s">
        <v>117</v>
      </c>
      <c r="F6" s="15">
        <f>'НА и ОС'!G41+'НА и ОС'!G115</f>
        <v>17.272727272727273</v>
      </c>
      <c r="G6" s="15">
        <f>'НА и ОС'!H41+'НА и ОС'!H115</f>
        <v>17.272727272727273</v>
      </c>
      <c r="H6" s="15">
        <f>'НА и ОС'!I41+'НА и ОС'!I115</f>
        <v>17.272727272727273</v>
      </c>
      <c r="I6" s="15">
        <f>'НА и ОС'!J41+'НА и ОС'!J115</f>
        <v>17.272727272727273</v>
      </c>
      <c r="J6" s="15">
        <f>'НА и ОС'!K41+'НА и ОС'!K115</f>
        <v>17.272727272727273</v>
      </c>
      <c r="K6" s="15">
        <f>'НА и ОС'!L41+'НА и ОС'!L115</f>
        <v>17.272727272727273</v>
      </c>
      <c r="L6" s="15">
        <f>'НА и ОС'!M41+'НА и ОС'!M115</f>
        <v>17.272727272727273</v>
      </c>
      <c r="M6" s="15">
        <f>'НА и ОС'!N41+'НА и ОС'!N115</f>
        <v>17.272727272727273</v>
      </c>
      <c r="N6" s="15">
        <f>'НА и ОС'!O41+'НА и ОС'!O115</f>
        <v>17.272727272727273</v>
      </c>
      <c r="O6" s="15">
        <f>'НА и ОС'!P41+'НА и ОС'!P115</f>
        <v>17.272727272727273</v>
      </c>
      <c r="P6" s="15">
        <f>'НА и ОС'!Q41+'НА и ОС'!Q115</f>
        <v>17.272727272727273</v>
      </c>
      <c r="Q6" s="15">
        <f>'НА и ОС'!R41+'НА и ОС'!R115</f>
        <v>303.63636363636357</v>
      </c>
      <c r="R6" s="15">
        <f>'НА и ОС'!S41+'НА и ОС'!S115</f>
        <v>1667.272727272727</v>
      </c>
      <c r="S6" s="15">
        <f>'НА и ОС'!T41+'НА и ОС'!T115</f>
        <v>1667.272727272727</v>
      </c>
      <c r="T6" s="15">
        <f>'НА и ОС'!U41+'НА и ОС'!U115</f>
        <v>1667.272727272727</v>
      </c>
      <c r="U6" s="15">
        <f>'НА и ОС'!V41+'НА и ОС'!V115</f>
        <v>1667.272727272727</v>
      </c>
      <c r="V6" s="15">
        <f>'НА и ОС'!W41+'НА и ОС'!W115</f>
        <v>1667.272727272727</v>
      </c>
      <c r="W6" s="15">
        <f>'НА и ОС'!X41+'НА и ОС'!X115</f>
        <v>1667.272727272727</v>
      </c>
      <c r="X6" s="15">
        <f>'НА и ОС'!Y41+'НА и ОС'!Y115</f>
        <v>1667.272727272727</v>
      </c>
      <c r="Y6" s="15">
        <f>'НА и ОС'!Z41+'НА и ОС'!Z115</f>
        <v>1667.272727272727</v>
      </c>
    </row>
    <row r="7" spans="1:26" x14ac:dyDescent="0.2">
      <c r="C7" s="137" t="s">
        <v>217</v>
      </c>
      <c r="E7" s="80" t="s">
        <v>117</v>
      </c>
      <c r="F7" s="15">
        <f>'НА и ОС'!G43+'НА и ОС'!G117</f>
        <v>5.3977272727272728E-2</v>
      </c>
      <c r="G7" s="15">
        <f>'НА и ОС'!H43+'НА и ОС'!H117</f>
        <v>0.10795454545454546</v>
      </c>
      <c r="H7" s="15">
        <f>'НА и ОС'!I43+'НА и ОС'!I117</f>
        <v>0.16193181818181818</v>
      </c>
      <c r="I7" s="15">
        <f>'НА и ОС'!J43+'НА и ОС'!J117</f>
        <v>0.21590909090909091</v>
      </c>
      <c r="J7" s="15">
        <f>'НА и ОС'!K43+'НА и ОС'!K117</f>
        <v>0.26988636363636365</v>
      </c>
      <c r="K7" s="15">
        <f>'НА и ОС'!L43+'НА и ОС'!L117</f>
        <v>0.32386363636363635</v>
      </c>
      <c r="L7" s="15">
        <f>'НА и ОС'!M43+'НА и ОС'!M117</f>
        <v>0.37784090909090906</v>
      </c>
      <c r="M7" s="15">
        <f>'НА и ОС'!N43+'НА и ОС'!N117</f>
        <v>0.43181818181818182</v>
      </c>
      <c r="N7" s="15">
        <f>'НА и ОС'!O43+'НА и ОС'!O117</f>
        <v>0.48579545454545459</v>
      </c>
      <c r="O7" s="15">
        <f>'НА и ОС'!P43+'НА и ОС'!P117</f>
        <v>0.53977272727272729</v>
      </c>
      <c r="P7" s="15">
        <f>'НА и ОС'!Q43+'НА и ОС'!Q117</f>
        <v>0.59375</v>
      </c>
      <c r="Q7" s="15">
        <f>'НА и ОС'!R43+'НА и ОС'!R117</f>
        <v>4.2272727272727266</v>
      </c>
      <c r="R7" s="15">
        <f>'НА и ОС'!S43+'НА и ОС'!S117</f>
        <v>24.90625</v>
      </c>
      <c r="S7" s="15">
        <f>'НА и ОС'!T43+'НА и ОС'!T117</f>
        <v>45.585227272727273</v>
      </c>
      <c r="T7" s="15">
        <f>'НА и ОС'!U43+'НА и ОС'!U117</f>
        <v>66.264204545454533</v>
      </c>
      <c r="U7" s="15">
        <f>'НА и ОС'!V43+'НА и ОС'!V117</f>
        <v>86.943181818181799</v>
      </c>
      <c r="V7" s="15">
        <f>'НА и ОС'!W43+'НА и ОС'!W117</f>
        <v>107.62215909090908</v>
      </c>
      <c r="W7" s="15">
        <f>'НА и ОС'!X43+'НА и ОС'!X117</f>
        <v>128.30113636363635</v>
      </c>
      <c r="X7" s="15">
        <f>'НА и ОС'!Y43+'НА и ОС'!Y117</f>
        <v>148.98011363636363</v>
      </c>
      <c r="Y7" s="15">
        <f>'НА и ОС'!Z43+'НА и ОС'!Z117</f>
        <v>169.65909090909091</v>
      </c>
    </row>
    <row r="8" spans="1:26" x14ac:dyDescent="0.2">
      <c r="C8" s="137" t="s">
        <v>218</v>
      </c>
      <c r="E8" s="80" t="s">
        <v>117</v>
      </c>
      <c r="F8" s="15">
        <f>F6-F7</f>
        <v>17.21875</v>
      </c>
      <c r="G8" s="15">
        <f t="shared" ref="G8:Y8" si="0">G6-G7</f>
        <v>17.164772727272727</v>
      </c>
      <c r="H8" s="15">
        <f t="shared" si="0"/>
        <v>17.110795454545457</v>
      </c>
      <c r="I8" s="15">
        <f t="shared" si="0"/>
        <v>17.056818181818183</v>
      </c>
      <c r="J8" s="15">
        <f t="shared" si="0"/>
        <v>17.00284090909091</v>
      </c>
      <c r="K8" s="15">
        <f t="shared" si="0"/>
        <v>16.948863636363637</v>
      </c>
      <c r="L8" s="15">
        <f t="shared" si="0"/>
        <v>16.894886363636363</v>
      </c>
      <c r="M8" s="15">
        <f t="shared" si="0"/>
        <v>16.84090909090909</v>
      </c>
      <c r="N8" s="15">
        <f t="shared" si="0"/>
        <v>16.78693181818182</v>
      </c>
      <c r="O8" s="15">
        <f t="shared" si="0"/>
        <v>16.732954545454547</v>
      </c>
      <c r="P8" s="15">
        <f t="shared" si="0"/>
        <v>16.678977272727273</v>
      </c>
      <c r="Q8" s="15">
        <f t="shared" si="0"/>
        <v>299.40909090909082</v>
      </c>
      <c r="R8" s="15">
        <f t="shared" si="0"/>
        <v>1642.366477272727</v>
      </c>
      <c r="S8" s="15">
        <f t="shared" si="0"/>
        <v>1621.6874999999998</v>
      </c>
      <c r="T8" s="15">
        <f t="shared" si="0"/>
        <v>1601.0085227272725</v>
      </c>
      <c r="U8" s="15">
        <f t="shared" si="0"/>
        <v>1580.3295454545453</v>
      </c>
      <c r="V8" s="15">
        <f t="shared" si="0"/>
        <v>1559.650568181818</v>
      </c>
      <c r="W8" s="15">
        <f t="shared" si="0"/>
        <v>1538.9715909090908</v>
      </c>
      <c r="X8" s="15">
        <f t="shared" si="0"/>
        <v>1518.2926136363635</v>
      </c>
      <c r="Y8" s="15">
        <f t="shared" si="0"/>
        <v>1497.613636363636</v>
      </c>
      <c r="Z8" s="56"/>
    </row>
    <row r="9" spans="1:26" s="27" customFormat="1" x14ac:dyDescent="0.2">
      <c r="B9" s="138" t="s">
        <v>219</v>
      </c>
      <c r="E9" s="80" t="s">
        <v>117</v>
      </c>
      <c r="F9" s="15">
        <f>'НА и ОС'!G40+'НА и ОС'!G114</f>
        <v>128.45454545454544</v>
      </c>
      <c r="G9" s="15">
        <f>'НА и ОС'!H40+'НА и ОС'!H114</f>
        <v>231.40909090909091</v>
      </c>
      <c r="H9" s="15">
        <f>'НА и ОС'!I40+'НА и ОС'!I114</f>
        <v>334.36363636363637</v>
      </c>
      <c r="I9" s="15">
        <f>'НА и ОС'!J40+'НА и ОС'!J114</f>
        <v>437.31818181818181</v>
      </c>
      <c r="J9" s="15">
        <f>'НА и ОС'!K40+'НА и ОС'!K114</f>
        <v>575.0454545454545</v>
      </c>
      <c r="K9" s="15">
        <f>'НА и ОС'!L40+'НА и ОС'!L114</f>
        <v>712.77272727272725</v>
      </c>
      <c r="L9" s="15">
        <f>'НА и ОС'!M40+'НА и ОС'!M114</f>
        <v>918.68181818181813</v>
      </c>
      <c r="M9" s="15">
        <f>'НА и ОС'!N40+'НА и ОС'!N114</f>
        <v>1124.590909090909</v>
      </c>
      <c r="N9" s="15">
        <f>'НА и ОС'!O40+'НА и ОС'!O114</f>
        <v>1330.5</v>
      </c>
      <c r="O9" s="15">
        <f>'НА и ОС'!P40+'НА и ОС'!P114</f>
        <v>1536.4090909090908</v>
      </c>
      <c r="P9" s="15">
        <f>'НА и ОС'!Q40+'НА и ОС'!Q114</f>
        <v>1742.3181818181815</v>
      </c>
      <c r="Q9" s="15">
        <f>'НА и ОС'!R40+'НА и ОС'!R114</f>
        <v>1227.272727272727</v>
      </c>
      <c r="R9" s="15">
        <f>'НА и ОС'!S40+'НА и ОС'!S114</f>
        <v>0</v>
      </c>
      <c r="S9" s="15">
        <f>'НА и ОС'!T40+'НА и ОС'!T114</f>
        <v>0</v>
      </c>
      <c r="T9" s="15">
        <f>'НА и ОС'!U40+'НА и ОС'!U114</f>
        <v>0</v>
      </c>
      <c r="U9" s="15">
        <f>'НА и ОС'!V40+'НА и ОС'!V114</f>
        <v>0</v>
      </c>
      <c r="V9" s="15">
        <f>'НА и ОС'!W40+'НА и ОС'!W114</f>
        <v>0</v>
      </c>
      <c r="W9" s="15">
        <f>'НА и ОС'!X40+'НА и ОС'!X114</f>
        <v>0</v>
      </c>
      <c r="X9" s="15">
        <f>'НА и ОС'!Y40+'НА и ОС'!Y114</f>
        <v>0</v>
      </c>
      <c r="Y9" s="15">
        <f>'НА и ОС'!Z40+'НА и ОС'!Z114</f>
        <v>0</v>
      </c>
      <c r="Z9" s="56"/>
    </row>
    <row r="10" spans="1:26" x14ac:dyDescent="0.2">
      <c r="B10" s="13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56"/>
    </row>
    <row r="11" spans="1:26" x14ac:dyDescent="0.2">
      <c r="B11" s="136" t="s">
        <v>220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56"/>
    </row>
    <row r="12" spans="1:26" x14ac:dyDescent="0.2">
      <c r="C12" s="138" t="s">
        <v>228</v>
      </c>
      <c r="E12" s="80" t="s">
        <v>117</v>
      </c>
      <c r="F12" s="15">
        <f>'Оборот. К.'!D4</f>
        <v>6572.2795779313037</v>
      </c>
      <c r="G12" s="15">
        <f>'Оборот. К.'!E4</f>
        <v>9240.7394913528697</v>
      </c>
      <c r="H12" s="15">
        <f>'Оборот. К.'!F4</f>
        <v>12405.61680373297</v>
      </c>
      <c r="I12" s="15">
        <f>'Оборот. К.'!G4</f>
        <v>14850.634596348813</v>
      </c>
      <c r="J12" s="15">
        <f>'Оборот. К.'!H4</f>
        <v>33495.888295495562</v>
      </c>
      <c r="K12" s="15">
        <f>'Оборот. К.'!I4</f>
        <v>42444.039048117309</v>
      </c>
      <c r="L12" s="15">
        <f>'Оборот. К.'!J4</f>
        <v>63883.417717510201</v>
      </c>
      <c r="M12" s="15">
        <f>'Оборот. К.'!K4</f>
        <v>78620.538269518263</v>
      </c>
      <c r="N12" s="15">
        <f>'Оборот. К.'!L4</f>
        <v>117671.19677465924</v>
      </c>
      <c r="O12" s="15">
        <f>'Оборот. К.'!M4</f>
        <v>138486.86247066854</v>
      </c>
      <c r="P12" s="15">
        <f>'Оборот. К.'!N4</f>
        <v>154196.27727226942</v>
      </c>
      <c r="Q12" s="15">
        <f>'Оборот. К.'!O4</f>
        <v>171988.22080488977</v>
      </c>
      <c r="R12" s="15">
        <f>'Оборот. К.'!P4</f>
        <v>211357.49763557274</v>
      </c>
      <c r="S12" s="15">
        <f>'Оборот. К.'!Q4</f>
        <v>231675.96819774786</v>
      </c>
      <c r="T12" s="15">
        <f>'Оборот. К.'!R4</f>
        <v>259322.91478844514</v>
      </c>
      <c r="U12" s="15">
        <f>'Оборот. К.'!S4</f>
        <v>283654.87529334147</v>
      </c>
      <c r="V12" s="15">
        <f>'Оборот. К.'!T4</f>
        <v>256254.32689162379</v>
      </c>
      <c r="W12" s="15">
        <f>'Оборот. К.'!U4</f>
        <v>281477.18285335612</v>
      </c>
      <c r="X12" s="15">
        <f>'Оборот. К.'!V4</f>
        <v>314493.96748536354</v>
      </c>
      <c r="Y12" s="15">
        <f>'Оборот. К.'!W4</f>
        <v>338776.38515376055</v>
      </c>
      <c r="Z12" s="56"/>
    </row>
    <row r="13" spans="1:26" x14ac:dyDescent="0.2">
      <c r="C13" s="138" t="s">
        <v>308</v>
      </c>
      <c r="E13" s="80" t="s">
        <v>117</v>
      </c>
      <c r="F13" s="15">
        <f>-IF(CF!F16&lt;0, CF!F16, 0)</f>
        <v>0</v>
      </c>
      <c r="G13" s="15">
        <f>-IF(CF!G16&lt;0, CF!G16, 0)</f>
        <v>0</v>
      </c>
      <c r="H13" s="15">
        <f>-IF(CF!H16&lt;0, CF!H16, 0)</f>
        <v>0</v>
      </c>
      <c r="I13" s="15">
        <f>-IF(CF!I16&lt;0, CF!I16, 0)</f>
        <v>0</v>
      </c>
      <c r="J13" s="15">
        <f>-IF(CF!J16&lt;0, CF!J16, 0)</f>
        <v>0</v>
      </c>
      <c r="K13" s="15">
        <f>-IF(CF!K16&lt;0, CF!K16, 0)</f>
        <v>0</v>
      </c>
      <c r="L13" s="15">
        <f>-IF(CF!L16&lt;0, CF!L16, 0)</f>
        <v>0</v>
      </c>
      <c r="M13" s="15">
        <f>-IF(CF!M16&lt;0, CF!M16, 0)</f>
        <v>0</v>
      </c>
      <c r="N13" s="15">
        <f>-IF(CF!N16&lt;0, CF!N16, 0)</f>
        <v>0</v>
      </c>
      <c r="O13" s="15">
        <f>-IF(CF!O16&lt;0, CF!O16, 0)</f>
        <v>0</v>
      </c>
      <c r="P13" s="15">
        <f>-IF(CF!P16&lt;0, CF!P16, 0)</f>
        <v>0</v>
      </c>
      <c r="Q13" s="15">
        <f>-IF(CF!Q16&lt;0, CF!Q16, 0)</f>
        <v>0</v>
      </c>
      <c r="R13" s="15">
        <f>-IF(CF!R16&lt;0, CF!R16, 0)</f>
        <v>0</v>
      </c>
      <c r="S13" s="15">
        <f>-IF(CF!S16&lt;0, CF!S16, 0)</f>
        <v>0</v>
      </c>
      <c r="T13" s="15">
        <f>-IF(CF!T16&lt;0, CF!T16, 0)</f>
        <v>0</v>
      </c>
      <c r="U13" s="15">
        <f>-IF(CF!U16&lt;0, CF!U16, 0)</f>
        <v>0</v>
      </c>
      <c r="V13" s="15">
        <f>-IF(CF!V16&lt;0, CF!V16, 0)</f>
        <v>0</v>
      </c>
      <c r="W13" s="15">
        <f>-IF(CF!W16&lt;0, CF!W16, 0)</f>
        <v>0</v>
      </c>
      <c r="X13" s="15">
        <f>-IF(CF!X16&lt;0, CF!X16, 0)</f>
        <v>0</v>
      </c>
      <c r="Y13" s="15">
        <f>-IF(CF!Y16&lt;0, CF!Y16, 0)</f>
        <v>0</v>
      </c>
      <c r="Z13" s="56"/>
    </row>
    <row r="14" spans="1:26" x14ac:dyDescent="0.2">
      <c r="C14" s="138" t="s">
        <v>221</v>
      </c>
      <c r="E14" s="80" t="s">
        <v>117</v>
      </c>
      <c r="F14" s="15">
        <f>CF!F35</f>
        <v>13756.775514296553</v>
      </c>
      <c r="G14" s="15">
        <f>CF!G35</f>
        <v>17368.278020822374</v>
      </c>
      <c r="H14" s="15">
        <f>CF!H35</f>
        <v>27167.59259282492</v>
      </c>
      <c r="I14" s="15">
        <f>CF!I35</f>
        <v>45279.362680988655</v>
      </c>
      <c r="J14" s="15">
        <f>CF!J35</f>
        <v>45342.01138072263</v>
      </c>
      <c r="K14" s="15">
        <f>CF!K35</f>
        <v>59761.869599586316</v>
      </c>
      <c r="L14" s="15">
        <f>CF!L35</f>
        <v>48158.092571695153</v>
      </c>
      <c r="M14" s="15">
        <f>CF!M35</f>
        <v>64521.398736536707</v>
      </c>
      <c r="N14" s="15">
        <f>CF!N35</f>
        <v>67203.481403678161</v>
      </c>
      <c r="O14" s="15">
        <f>CF!O35</f>
        <v>97340.548163581028</v>
      </c>
      <c r="P14" s="15">
        <f>CF!P35</f>
        <v>139930.05157230439</v>
      </c>
      <c r="Q14" s="15">
        <f>CF!Q35</f>
        <v>188936.79960350483</v>
      </c>
      <c r="R14" s="15">
        <f>CF!R35</f>
        <v>221332.80342448319</v>
      </c>
      <c r="S14" s="15">
        <f>CF!S35</f>
        <v>288032.0300535073</v>
      </c>
      <c r="T14" s="15">
        <f>CF!T35</f>
        <v>365251.20644838287</v>
      </c>
      <c r="U14" s="15">
        <f>CF!U35</f>
        <v>454630.46477507707</v>
      </c>
      <c r="V14" s="15">
        <f>CF!V35</f>
        <v>563046.75590753602</v>
      </c>
      <c r="W14" s="15">
        <f>CF!W35</f>
        <v>630926.22825905366</v>
      </c>
      <c r="X14" s="15">
        <f>CF!X35</f>
        <v>709947.3915082647</v>
      </c>
      <c r="Y14" s="15">
        <f>CF!Y35</f>
        <v>806904.69746654422</v>
      </c>
      <c r="Z14" s="56"/>
    </row>
    <row r="15" spans="1:26" x14ac:dyDescent="0.2">
      <c r="B15" s="138" t="s">
        <v>439</v>
      </c>
      <c r="E15" s="80" t="s">
        <v>117</v>
      </c>
      <c r="F15" s="15">
        <f>F12+F13+F14</f>
        <v>20329.055092227856</v>
      </c>
      <c r="G15" s="15">
        <f t="shared" ref="G15:Y15" si="1">G12+G13+G14</f>
        <v>26609.017512175244</v>
      </c>
      <c r="H15" s="15">
        <f t="shared" si="1"/>
        <v>39573.20939655789</v>
      </c>
      <c r="I15" s="15">
        <f t="shared" si="1"/>
        <v>60129.997277337468</v>
      </c>
      <c r="J15" s="15">
        <f t="shared" si="1"/>
        <v>78837.899676218192</v>
      </c>
      <c r="K15" s="15">
        <f t="shared" si="1"/>
        <v>102205.90864770362</v>
      </c>
      <c r="L15" s="15">
        <f t="shared" si="1"/>
        <v>112041.51028920535</v>
      </c>
      <c r="M15" s="15">
        <f t="shared" si="1"/>
        <v>143141.93700605497</v>
      </c>
      <c r="N15" s="15">
        <f t="shared" si="1"/>
        <v>184874.6781783374</v>
      </c>
      <c r="O15" s="15">
        <f t="shared" si="1"/>
        <v>235827.41063424957</v>
      </c>
      <c r="P15" s="15">
        <f t="shared" si="1"/>
        <v>294126.32884457381</v>
      </c>
      <c r="Q15" s="15">
        <f t="shared" si="1"/>
        <v>360925.02040839463</v>
      </c>
      <c r="R15" s="15">
        <f t="shared" si="1"/>
        <v>432690.30106005596</v>
      </c>
      <c r="S15" s="15">
        <f t="shared" si="1"/>
        <v>519707.99825125514</v>
      </c>
      <c r="T15" s="15">
        <f t="shared" si="1"/>
        <v>624574.12123682804</v>
      </c>
      <c r="U15" s="15">
        <f t="shared" si="1"/>
        <v>738285.34006841853</v>
      </c>
      <c r="V15" s="15">
        <f t="shared" si="1"/>
        <v>819301.08279915981</v>
      </c>
      <c r="W15" s="15">
        <f t="shared" si="1"/>
        <v>912403.41111240978</v>
      </c>
      <c r="X15" s="15">
        <f t="shared" si="1"/>
        <v>1024441.3589936283</v>
      </c>
      <c r="Y15" s="15">
        <f t="shared" si="1"/>
        <v>1145681.0826203048</v>
      </c>
      <c r="Z15" s="56"/>
    </row>
    <row r="16" spans="1:26" x14ac:dyDescent="0.2">
      <c r="B16" s="13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6" s="27" customFormat="1" x14ac:dyDescent="0.2">
      <c r="B17" s="136" t="s">
        <v>267</v>
      </c>
      <c r="E17" s="80" t="s">
        <v>117</v>
      </c>
      <c r="F17" s="17">
        <f t="shared" ref="F17:Y17" si="2">F8+F9+F15</f>
        <v>20474.7283876824</v>
      </c>
      <c r="G17" s="17">
        <f t="shared" si="2"/>
        <v>26857.591375811608</v>
      </c>
      <c r="H17" s="17">
        <f t="shared" si="2"/>
        <v>39924.683828376074</v>
      </c>
      <c r="I17" s="17">
        <f>I8+I9+I15</f>
        <v>60584.372277337468</v>
      </c>
      <c r="J17" s="17">
        <f t="shared" si="2"/>
        <v>79429.947971672736</v>
      </c>
      <c r="K17" s="17">
        <f t="shared" si="2"/>
        <v>102935.63023861271</v>
      </c>
      <c r="L17" s="17">
        <f t="shared" si="2"/>
        <v>112977.08699375081</v>
      </c>
      <c r="M17" s="17">
        <f t="shared" si="2"/>
        <v>144283.36882423679</v>
      </c>
      <c r="N17" s="17">
        <f t="shared" si="2"/>
        <v>186221.96511015558</v>
      </c>
      <c r="O17" s="17">
        <f t="shared" si="2"/>
        <v>237380.55267970412</v>
      </c>
      <c r="P17" s="17">
        <f t="shared" si="2"/>
        <v>295885.3260036647</v>
      </c>
      <c r="Q17" s="17">
        <f t="shared" si="2"/>
        <v>362451.70222657645</v>
      </c>
      <c r="R17" s="17">
        <f t="shared" si="2"/>
        <v>434332.66753732867</v>
      </c>
      <c r="S17" s="17">
        <f t="shared" si="2"/>
        <v>521329.68575125514</v>
      </c>
      <c r="T17" s="17">
        <f t="shared" si="2"/>
        <v>626175.12975955533</v>
      </c>
      <c r="U17" s="17">
        <f t="shared" si="2"/>
        <v>739865.66961387312</v>
      </c>
      <c r="V17" s="17">
        <f t="shared" si="2"/>
        <v>820860.73336734157</v>
      </c>
      <c r="W17" s="17">
        <f t="shared" si="2"/>
        <v>913942.38270331884</v>
      </c>
      <c r="X17" s="17">
        <f t="shared" si="2"/>
        <v>1025959.6516072646</v>
      </c>
      <c r="Y17" s="17">
        <f t="shared" si="2"/>
        <v>1147178.6962566683</v>
      </c>
      <c r="Z17" s="56"/>
    </row>
    <row r="18" spans="1:26" x14ac:dyDescent="0.2">
      <c r="B18" s="13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6" x14ac:dyDescent="0.2">
      <c r="A19" s="62"/>
      <c r="B19" s="135" t="s">
        <v>222</v>
      </c>
      <c r="C19" s="62"/>
      <c r="D19" s="62"/>
      <c r="E19" s="62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</row>
    <row r="20" spans="1:26" s="27" customFormat="1" x14ac:dyDescent="0.2">
      <c r="B20" s="136" t="s">
        <v>223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6" s="27" customFormat="1" x14ac:dyDescent="0.2">
      <c r="B21" s="138" t="s">
        <v>74</v>
      </c>
      <c r="E21" s="80" t="s">
        <v>117</v>
      </c>
      <c r="F21" s="15">
        <f>F22+F23</f>
        <v>170</v>
      </c>
      <c r="G21" s="15">
        <f>G22+G23</f>
        <v>170</v>
      </c>
      <c r="H21" s="15">
        <f t="shared" ref="H21:Y21" si="3">H22+H23</f>
        <v>170</v>
      </c>
      <c r="I21" s="15">
        <f t="shared" si="3"/>
        <v>170</v>
      </c>
      <c r="J21" s="15">
        <f t="shared" si="3"/>
        <v>170</v>
      </c>
      <c r="K21" s="15">
        <f t="shared" si="3"/>
        <v>170</v>
      </c>
      <c r="L21" s="15">
        <f t="shared" si="3"/>
        <v>170</v>
      </c>
      <c r="M21" s="15">
        <f t="shared" si="3"/>
        <v>170</v>
      </c>
      <c r="N21" s="15">
        <f t="shared" si="3"/>
        <v>220</v>
      </c>
      <c r="O21" s="15">
        <f t="shared" si="3"/>
        <v>220</v>
      </c>
      <c r="P21" s="15">
        <f t="shared" si="3"/>
        <v>220</v>
      </c>
      <c r="Q21" s="15">
        <f t="shared" si="3"/>
        <v>220</v>
      </c>
      <c r="R21" s="15">
        <f t="shared" si="3"/>
        <v>270</v>
      </c>
      <c r="S21" s="15">
        <f t="shared" si="3"/>
        <v>270</v>
      </c>
      <c r="T21" s="15">
        <f t="shared" si="3"/>
        <v>270</v>
      </c>
      <c r="U21" s="15">
        <f t="shared" si="3"/>
        <v>270</v>
      </c>
      <c r="V21" s="15">
        <f t="shared" si="3"/>
        <v>270</v>
      </c>
      <c r="W21" s="15">
        <f t="shared" si="3"/>
        <v>270</v>
      </c>
      <c r="X21" s="15">
        <f t="shared" si="3"/>
        <v>270</v>
      </c>
      <c r="Y21" s="15">
        <f t="shared" si="3"/>
        <v>270</v>
      </c>
    </row>
    <row r="22" spans="1:26" s="27" customFormat="1" x14ac:dyDescent="0.2">
      <c r="B22" s="140"/>
      <c r="C22" s="141" t="s">
        <v>75</v>
      </c>
      <c r="E22" s="80" t="s">
        <v>117</v>
      </c>
      <c r="F22" s="54">
        <f>SUM('Финан-е'!E6)</f>
        <v>120</v>
      </c>
      <c r="G22" s="54">
        <f>SUM('Финан-е'!$E6:F6)</f>
        <v>120</v>
      </c>
      <c r="H22" s="54">
        <f>SUM('Финан-е'!$E6:G6)</f>
        <v>120</v>
      </c>
      <c r="I22" s="54">
        <f>SUM('Финан-е'!$E6:H6)</f>
        <v>120</v>
      </c>
      <c r="J22" s="54">
        <f>SUM('Финан-е'!$E6:I6)</f>
        <v>120</v>
      </c>
      <c r="K22" s="54">
        <f>SUM('Финан-е'!$E6:J6)</f>
        <v>120</v>
      </c>
      <c r="L22" s="54">
        <f>SUM('Финан-е'!$E6:K6)</f>
        <v>120</v>
      </c>
      <c r="M22" s="54">
        <f>SUM('Финан-е'!$E6:L6)</f>
        <v>120</v>
      </c>
      <c r="N22" s="54">
        <f>SUM('Финан-е'!$E6:M6)</f>
        <v>120</v>
      </c>
      <c r="O22" s="54">
        <f>SUM('Финан-е'!$E6:N6)</f>
        <v>120</v>
      </c>
      <c r="P22" s="54">
        <f>SUM('Финан-е'!$E6:O6)</f>
        <v>120</v>
      </c>
      <c r="Q22" s="54">
        <f>SUM('Финан-е'!$E6:P6)</f>
        <v>120</v>
      </c>
      <c r="R22" s="54">
        <f>SUM('Финан-е'!$E6:Q6)</f>
        <v>120</v>
      </c>
      <c r="S22" s="54">
        <f>SUM('Финан-е'!$E6:R6)</f>
        <v>120</v>
      </c>
      <c r="T22" s="54">
        <f>SUM('Финан-е'!$E6:S6)</f>
        <v>120</v>
      </c>
      <c r="U22" s="54">
        <f>SUM('Финан-е'!$E6:T6)</f>
        <v>120</v>
      </c>
      <c r="V22" s="54">
        <f>SUM('Финан-е'!$E6:U6)</f>
        <v>120</v>
      </c>
      <c r="W22" s="54">
        <f>SUM('Финан-е'!$E6:V6)</f>
        <v>120</v>
      </c>
      <c r="X22" s="54">
        <f>SUM('Финан-е'!$E6:W6)</f>
        <v>120</v>
      </c>
      <c r="Y22" s="54">
        <f>SUM('Финан-е'!$E6:X6)</f>
        <v>120</v>
      </c>
    </row>
    <row r="23" spans="1:26" x14ac:dyDescent="0.2">
      <c r="B23" s="138"/>
      <c r="C23" s="141" t="s">
        <v>77</v>
      </c>
      <c r="E23" s="80" t="s">
        <v>117</v>
      </c>
      <c r="F23" s="54">
        <f>SUM('Финан-е'!E7)</f>
        <v>50</v>
      </c>
      <c r="G23" s="54">
        <f>SUM('Финан-е'!$E7:F7)</f>
        <v>50</v>
      </c>
      <c r="H23" s="54">
        <f>SUM('Финан-е'!$E7:G7)</f>
        <v>50</v>
      </c>
      <c r="I23" s="54">
        <f>SUM('Финан-е'!$E7:H7)</f>
        <v>50</v>
      </c>
      <c r="J23" s="54">
        <f>SUM('Финан-е'!$E7:I7)</f>
        <v>50</v>
      </c>
      <c r="K23" s="54">
        <f>SUM('Финан-е'!$E7:J7)</f>
        <v>50</v>
      </c>
      <c r="L23" s="54">
        <f>SUM('Финан-е'!$E7:K7)</f>
        <v>50</v>
      </c>
      <c r="M23" s="54">
        <f>SUM('Финан-е'!$E7:L7)</f>
        <v>50</v>
      </c>
      <c r="N23" s="54">
        <f>SUM('Финан-е'!$E7:M7)</f>
        <v>100</v>
      </c>
      <c r="O23" s="54">
        <f>SUM('Финан-е'!$E7:N7)</f>
        <v>100</v>
      </c>
      <c r="P23" s="54">
        <f>SUM('Финан-е'!$E7:O7)</f>
        <v>100</v>
      </c>
      <c r="Q23" s="54">
        <f>SUM('Финан-е'!$E7:P7)</f>
        <v>100</v>
      </c>
      <c r="R23" s="54">
        <f>SUM('Финан-е'!$E7:Q7)</f>
        <v>150</v>
      </c>
      <c r="S23" s="54">
        <f>SUM('Финан-е'!$E7:R7)</f>
        <v>150</v>
      </c>
      <c r="T23" s="54">
        <f>SUM('Финан-е'!$E7:S7)</f>
        <v>150</v>
      </c>
      <c r="U23" s="54">
        <f>SUM('Финан-е'!$E7:T7)</f>
        <v>150</v>
      </c>
      <c r="V23" s="54">
        <f>SUM('Финан-е'!$E7:U7)</f>
        <v>150</v>
      </c>
      <c r="W23" s="54">
        <f>SUM('Финан-е'!$E7:V7)</f>
        <v>150</v>
      </c>
      <c r="X23" s="54">
        <f>SUM('Финан-е'!$E7:W7)</f>
        <v>150</v>
      </c>
      <c r="Y23" s="54">
        <f>SUM('Финан-е'!$E7:X7)</f>
        <v>150</v>
      </c>
    </row>
    <row r="24" spans="1:26" x14ac:dyDescent="0.2">
      <c r="B24" s="138" t="s">
        <v>191</v>
      </c>
      <c r="C24" s="141"/>
      <c r="E24" s="80" t="s">
        <v>117</v>
      </c>
      <c r="F24" s="15">
        <f>SUM('Финан-е'!E8)</f>
        <v>1000</v>
      </c>
      <c r="G24" s="15">
        <f>SUM('Финан-е'!$E8:F8)</f>
        <v>1000</v>
      </c>
      <c r="H24" s="15">
        <f>SUM('Финан-е'!$E8:G8)</f>
        <v>1000</v>
      </c>
      <c r="I24" s="15">
        <f>SUM('Финан-е'!$E8:H8)</f>
        <v>1000</v>
      </c>
      <c r="J24" s="15">
        <f>SUM('Финан-е'!$E8:I8)</f>
        <v>1000</v>
      </c>
      <c r="K24" s="15">
        <f>SUM('Финан-е'!$E8:J8)</f>
        <v>2000</v>
      </c>
      <c r="L24" s="15">
        <f>SUM('Финан-е'!$E8:K8)</f>
        <v>2000</v>
      </c>
      <c r="M24" s="15">
        <f>SUM('Финан-е'!$E8:L8)</f>
        <v>2000</v>
      </c>
      <c r="N24" s="15">
        <f>SUM('Финан-е'!$E8:M8)</f>
        <v>2000</v>
      </c>
      <c r="O24" s="15">
        <f>SUM('Финан-е'!$E8:N8)</f>
        <v>2000</v>
      </c>
      <c r="P24" s="15">
        <f>SUM('Финан-е'!$E8:O8)</f>
        <v>2000</v>
      </c>
      <c r="Q24" s="15">
        <f>SUM('Финан-е'!$E8:P8)</f>
        <v>2000</v>
      </c>
      <c r="R24" s="15">
        <f>SUM('Финан-е'!$E8:Q8)</f>
        <v>2000</v>
      </c>
      <c r="S24" s="15">
        <f>SUM('Финан-е'!$E8:R8)</f>
        <v>2000</v>
      </c>
      <c r="T24" s="15">
        <f>SUM('Финан-е'!$E8:S8)</f>
        <v>2000</v>
      </c>
      <c r="U24" s="15">
        <f>SUM('Финан-е'!$E8:T8)</f>
        <v>2000</v>
      </c>
      <c r="V24" s="15">
        <f>SUM('Финан-е'!$E8:U8)</f>
        <v>2000</v>
      </c>
      <c r="W24" s="15">
        <f>SUM('Финан-е'!$E8:V8)</f>
        <v>2000</v>
      </c>
      <c r="X24" s="15">
        <f>SUM('Финан-е'!$E8:W8)</f>
        <v>2000</v>
      </c>
      <c r="Y24" s="15">
        <f>SUM('Финан-е'!$E8:X8)</f>
        <v>2000</v>
      </c>
    </row>
    <row r="25" spans="1:26" x14ac:dyDescent="0.2">
      <c r="B25" s="138" t="s">
        <v>76</v>
      </c>
      <c r="E25" s="80" t="s">
        <v>117</v>
      </c>
      <c r="F25" s="15">
        <f>'Форма 2'!F29</f>
        <v>800.73127747253068</v>
      </c>
      <c r="G25" s="15">
        <f>'Форма 2'!G29</f>
        <v>6121.9965726884475</v>
      </c>
      <c r="H25" s="15">
        <f>'Форма 2'!H29</f>
        <v>18066.586131431599</v>
      </c>
      <c r="I25" s="15">
        <f>'Форма 2'!I29</f>
        <v>37539.372277337476</v>
      </c>
      <c r="J25" s="15">
        <f>'Форма 2'!J29</f>
        <v>55129.951583910413</v>
      </c>
      <c r="K25" s="15">
        <f>'Форма 2'!K29</f>
        <v>76308.636734708794</v>
      </c>
      <c r="L25" s="15">
        <f>'Форма 2'!L29</f>
        <v>103450.96198278012</v>
      </c>
      <c r="M25" s="15">
        <f>'Форма 2'!M29</f>
        <v>142113.41362735996</v>
      </c>
      <c r="N25" s="15">
        <f>'Форма 2'!N29</f>
        <v>184002.01248369055</v>
      </c>
      <c r="O25" s="15">
        <f>'Форма 2'!O29</f>
        <v>235160.60277111863</v>
      </c>
      <c r="P25" s="15">
        <f>'Форма 2'!P29</f>
        <v>293665.37896888703</v>
      </c>
      <c r="Q25" s="15">
        <f>'Форма 2'!Q29</f>
        <v>360666.34913957136</v>
      </c>
      <c r="R25" s="15">
        <f>'Форма 2'!R29</f>
        <v>458898.41766333836</v>
      </c>
      <c r="S25" s="15">
        <f>'Форма 2'!S29</f>
        <v>547410.10373783496</v>
      </c>
      <c r="T25" s="15">
        <f>'Форма 2'!T29</f>
        <v>653857.11401555897</v>
      </c>
      <c r="U25" s="15">
        <f>'Форма 2'!U29</f>
        <v>769241.1040196612</v>
      </c>
      <c r="V25" s="15">
        <f>'Форма 2'!V29</f>
        <v>852026.77329758101</v>
      </c>
      <c r="W25" s="15">
        <f>'Форма 2'!W29</f>
        <v>947001.75745927088</v>
      </c>
      <c r="X25" s="15">
        <f>'Форма 2'!X29</f>
        <v>1061020.9841999963</v>
      </c>
      <c r="Y25" s="15">
        <f>'Форма 2'!Y29</f>
        <v>1184356.8415366306</v>
      </c>
    </row>
    <row r="26" spans="1:26" x14ac:dyDescent="0.2">
      <c r="B26" s="13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spans="1:26" x14ac:dyDescent="0.2">
      <c r="B27" s="138" t="s">
        <v>309</v>
      </c>
      <c r="E27" s="80" t="s">
        <v>117</v>
      </c>
      <c r="F27" s="15">
        <f>F21+F24+F25</f>
        <v>1970.7312774725306</v>
      </c>
      <c r="G27" s="15">
        <f t="shared" ref="G27:Y27" si="4">G21+G24+G25</f>
        <v>7291.9965726884475</v>
      </c>
      <c r="H27" s="15">
        <f t="shared" si="4"/>
        <v>19236.586131431599</v>
      </c>
      <c r="I27" s="15">
        <f t="shared" si="4"/>
        <v>38709.372277337476</v>
      </c>
      <c r="J27" s="15">
        <f t="shared" si="4"/>
        <v>56299.951583910413</v>
      </c>
      <c r="K27" s="15">
        <f t="shared" si="4"/>
        <v>78478.636734708794</v>
      </c>
      <c r="L27" s="15">
        <f t="shared" si="4"/>
        <v>105620.96198278012</v>
      </c>
      <c r="M27" s="15">
        <f t="shared" si="4"/>
        <v>144283.41362735996</v>
      </c>
      <c r="N27" s="15">
        <f t="shared" si="4"/>
        <v>186222.01248369055</v>
      </c>
      <c r="O27" s="15">
        <f t="shared" si="4"/>
        <v>237380.60277111863</v>
      </c>
      <c r="P27" s="15">
        <f t="shared" si="4"/>
        <v>295885.37896888703</v>
      </c>
      <c r="Q27" s="15">
        <f t="shared" si="4"/>
        <v>362886.34913957136</v>
      </c>
      <c r="R27" s="15">
        <f t="shared" si="4"/>
        <v>461168.41766333836</v>
      </c>
      <c r="S27" s="15">
        <f t="shared" si="4"/>
        <v>549680.10373783496</v>
      </c>
      <c r="T27" s="15">
        <f t="shared" si="4"/>
        <v>656127.11401555897</v>
      </c>
      <c r="U27" s="15">
        <f t="shared" si="4"/>
        <v>771511.1040196612</v>
      </c>
      <c r="V27" s="15">
        <f t="shared" si="4"/>
        <v>854296.77329758101</v>
      </c>
      <c r="W27" s="15">
        <f t="shared" si="4"/>
        <v>949271.75745927088</v>
      </c>
      <c r="X27" s="15">
        <f t="shared" si="4"/>
        <v>1063290.9841999963</v>
      </c>
      <c r="Y27" s="15">
        <f t="shared" si="4"/>
        <v>1186626.8415366306</v>
      </c>
      <c r="Z27" s="56"/>
    </row>
    <row r="28" spans="1:26" x14ac:dyDescent="0.2">
      <c r="B28" s="13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6" s="27" customFormat="1" x14ac:dyDescent="0.2">
      <c r="B29" s="136" t="s">
        <v>224</v>
      </c>
      <c r="E29" s="80" t="s">
        <v>117</v>
      </c>
      <c r="F29" s="15">
        <f>'Финан-е'!E19+'Финан-е'!E31</f>
        <v>17500</v>
      </c>
      <c r="G29" s="15">
        <f>'Финан-е'!F19+'Финан-е'!F31</f>
        <v>17500</v>
      </c>
      <c r="H29" s="15">
        <f>'Финан-е'!G19+'Финан-е'!G31</f>
        <v>17500</v>
      </c>
      <c r="I29" s="15">
        <f>'Финан-е'!H19+'Финан-е'!H31</f>
        <v>17500</v>
      </c>
      <c r="J29" s="15">
        <f>'Финан-е'!I19+'Финан-е'!I31</f>
        <v>17500</v>
      </c>
      <c r="K29" s="15">
        <f>'Финан-е'!J19+'Финан-е'!J31</f>
        <v>17500</v>
      </c>
      <c r="L29" s="15">
        <f>'Финан-е'!K19+'Финан-е'!K31</f>
        <v>0</v>
      </c>
      <c r="M29" s="15">
        <f>'Финан-е'!L19+'Финан-е'!L31</f>
        <v>0</v>
      </c>
      <c r="N29" s="15">
        <f>'Финан-е'!M19+'Финан-е'!M31</f>
        <v>0</v>
      </c>
      <c r="O29" s="15">
        <f>'Финан-е'!N19+'Финан-е'!N31</f>
        <v>0</v>
      </c>
      <c r="P29" s="15">
        <f>'Финан-е'!O19+'Финан-е'!O31</f>
        <v>0</v>
      </c>
      <c r="Q29" s="15">
        <f>'Финан-е'!P19+'Финан-е'!P31</f>
        <v>0</v>
      </c>
      <c r="R29" s="15">
        <f>'Финан-е'!Q19+'Финан-е'!Q31</f>
        <v>0</v>
      </c>
      <c r="S29" s="15">
        <f>'Финан-е'!R19+'Финан-е'!R31</f>
        <v>0</v>
      </c>
      <c r="T29" s="15">
        <f>'Финан-е'!S19+'Финан-е'!S31</f>
        <v>0</v>
      </c>
      <c r="U29" s="15">
        <f>'Финан-е'!T19+'Финан-е'!T31</f>
        <v>0</v>
      </c>
      <c r="V29" s="15">
        <f>'Финан-е'!U19+'Финан-е'!U31</f>
        <v>0</v>
      </c>
      <c r="W29" s="15">
        <f>'Финан-е'!V19+'Финан-е'!V31</f>
        <v>0</v>
      </c>
      <c r="X29" s="15">
        <f>'Финан-е'!W19+'Финан-е'!W31</f>
        <v>0</v>
      </c>
      <c r="Y29" s="15">
        <f>'Финан-е'!X19+'Финан-е'!X31</f>
        <v>0</v>
      </c>
      <c r="Z29" s="56"/>
    </row>
    <row r="30" spans="1:26" x14ac:dyDescent="0.2">
      <c r="B30" s="13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6" s="27" customFormat="1" x14ac:dyDescent="0.2">
      <c r="B31" s="142" t="s">
        <v>225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6" s="27" customFormat="1" x14ac:dyDescent="0.2">
      <c r="B32" s="142"/>
      <c r="C32" s="145" t="s">
        <v>394</v>
      </c>
      <c r="E32" s="80" t="s">
        <v>117</v>
      </c>
      <c r="F32" s="15">
        <f>'Финан-е'!E46+'Финан-е'!E58</f>
        <v>0</v>
      </c>
      <c r="G32" s="15">
        <f>'Финан-е'!F46+'Финан-е'!F58</f>
        <v>0</v>
      </c>
      <c r="H32" s="15">
        <f>'Финан-е'!G46+'Финан-е'!G58</f>
        <v>0</v>
      </c>
      <c r="I32" s="15">
        <f>'Финан-е'!H46+'Финан-е'!H58</f>
        <v>0</v>
      </c>
      <c r="J32" s="15">
        <f>'Финан-е'!I46+'Финан-е'!I58</f>
        <v>0</v>
      </c>
      <c r="K32" s="15">
        <f>'Финан-е'!J46+'Финан-е'!J58</f>
        <v>0</v>
      </c>
      <c r="L32" s="15">
        <f>'Финан-е'!K46+'Финан-е'!K58</f>
        <v>0</v>
      </c>
      <c r="M32" s="15">
        <f>'Финан-е'!L46+'Финан-е'!L58</f>
        <v>0</v>
      </c>
      <c r="N32" s="15">
        <f>'Финан-е'!M46+'Финан-е'!M58</f>
        <v>0</v>
      </c>
      <c r="O32" s="15">
        <f>'Финан-е'!N46+'Финан-е'!N58</f>
        <v>0</v>
      </c>
      <c r="P32" s="15">
        <f>'Финан-е'!O46+'Финан-е'!O58</f>
        <v>0</v>
      </c>
      <c r="Q32" s="15">
        <f>'Финан-е'!P46+'Финан-е'!P58</f>
        <v>0</v>
      </c>
      <c r="R32" s="15">
        <f>'Финан-е'!Q46+'Финан-е'!Q58</f>
        <v>0</v>
      </c>
      <c r="S32" s="15">
        <f>'Финан-е'!R46+'Финан-е'!R58</f>
        <v>0</v>
      </c>
      <c r="T32" s="15">
        <f>'Финан-е'!S46+'Финан-е'!S58</f>
        <v>0</v>
      </c>
      <c r="U32" s="15">
        <f>'Финан-е'!T46+'Финан-е'!T58</f>
        <v>0</v>
      </c>
      <c r="V32" s="15">
        <f>'Финан-е'!U46+'Финан-е'!U58</f>
        <v>0</v>
      </c>
      <c r="W32" s="15">
        <f>'Финан-е'!V46+'Финан-е'!V58</f>
        <v>0</v>
      </c>
      <c r="X32" s="15">
        <f>'Финан-е'!W46+'Финан-е'!W58</f>
        <v>0</v>
      </c>
      <c r="Y32" s="15">
        <f>'Финан-е'!X46+'Финан-е'!X58</f>
        <v>0</v>
      </c>
    </row>
    <row r="33" spans="2:26" x14ac:dyDescent="0.2">
      <c r="C33" s="138" t="s">
        <v>79</v>
      </c>
      <c r="E33" s="80" t="s">
        <v>117</v>
      </c>
      <c r="F33" s="15">
        <f>'Оборот. К.'!D5</f>
        <v>1003.9971102098716</v>
      </c>
      <c r="G33" s="15">
        <f>'Оборот. К.'!E5</f>
        <v>2065.5948031231587</v>
      </c>
      <c r="H33" s="15">
        <f>'Оборот. К.'!F5</f>
        <v>3188.0976969444691</v>
      </c>
      <c r="I33" s="15">
        <f>'Оборот. К.'!G5</f>
        <v>4374.9999999999973</v>
      </c>
      <c r="J33" s="15">
        <f>'Оборот. К.'!H5</f>
        <v>5629.9963877623368</v>
      </c>
      <c r="K33" s="15">
        <f>'Оборот. К.'!I5</f>
        <v>6956.9935039039456</v>
      </c>
      <c r="L33" s="15">
        <f>'Оборот. К.'!J5</f>
        <v>7356.1250109707116</v>
      </c>
      <c r="M33" s="15">
        <f>'Оборот. К.'!K5</f>
        <v>-4.4803123165365832E-2</v>
      </c>
      <c r="N33" s="15">
        <f>'Оборот. К.'!L5</f>
        <v>-4.7373534947446075E-2</v>
      </c>
      <c r="O33" s="15">
        <f>'Оборот. К.'!M5</f>
        <v>-5.0091414501026776E-2</v>
      </c>
      <c r="P33" s="15">
        <f>'Оборот. К.'!N5</f>
        <v>-5.2965222238475676E-2</v>
      </c>
      <c r="Q33" s="15">
        <f>'Оборот. К.'!O5</f>
        <v>-5.600390395670729E-2</v>
      </c>
      <c r="R33" s="15">
        <f>'Оборот. К.'!P5</f>
        <v>-26401.159216918681</v>
      </c>
      <c r="S33" s="15">
        <f>'Оборот. К.'!Q5</f>
        <v>-27915.827077488801</v>
      </c>
      <c r="T33" s="15">
        <f>'Оборот. К.'!R5</f>
        <v>-29517.393346912642</v>
      </c>
      <c r="U33" s="15">
        <f>'Оборот. К.'!S5</f>
        <v>-31210.843496697122</v>
      </c>
      <c r="V33" s="15">
        <f>'Оборот. К.'!T5</f>
        <v>-33001.44902114835</v>
      </c>
      <c r="W33" s="15">
        <f>'Оборот. К.'!U5</f>
        <v>-34894.783846860999</v>
      </c>
      <c r="X33" s="15">
        <f>'Оборот. К.'!V5</f>
        <v>-36896.741683640801</v>
      </c>
      <c r="Y33" s="15">
        <f>'Оборот. К.'!W5</f>
        <v>-39013.554370871403</v>
      </c>
    </row>
    <row r="34" spans="2:26" x14ac:dyDescent="0.2">
      <c r="B34" s="138" t="s">
        <v>226</v>
      </c>
      <c r="E34" s="80" t="s">
        <v>117</v>
      </c>
      <c r="F34" s="15">
        <f>SUM(F32:F33)</f>
        <v>1003.9971102098716</v>
      </c>
      <c r="G34" s="15">
        <f t="shared" ref="G34:Y34" si="5">SUM(G32:G33)</f>
        <v>2065.5948031231587</v>
      </c>
      <c r="H34" s="15">
        <f t="shared" si="5"/>
        <v>3188.0976969444691</v>
      </c>
      <c r="I34" s="15">
        <f t="shared" si="5"/>
        <v>4374.9999999999973</v>
      </c>
      <c r="J34" s="15">
        <f t="shared" si="5"/>
        <v>5629.9963877623368</v>
      </c>
      <c r="K34" s="15">
        <f t="shared" si="5"/>
        <v>6956.9935039039456</v>
      </c>
      <c r="L34" s="15">
        <f t="shared" si="5"/>
        <v>7356.1250109707116</v>
      </c>
      <c r="M34" s="15">
        <f t="shared" si="5"/>
        <v>-4.4803123165365832E-2</v>
      </c>
      <c r="N34" s="15">
        <f t="shared" si="5"/>
        <v>-4.7373534947446075E-2</v>
      </c>
      <c r="O34" s="15">
        <f t="shared" si="5"/>
        <v>-5.0091414501026776E-2</v>
      </c>
      <c r="P34" s="15">
        <f t="shared" si="5"/>
        <v>-5.2965222238475676E-2</v>
      </c>
      <c r="Q34" s="15">
        <f t="shared" si="5"/>
        <v>-5.600390395670729E-2</v>
      </c>
      <c r="R34" s="15">
        <f t="shared" si="5"/>
        <v>-26401.159216918681</v>
      </c>
      <c r="S34" s="15">
        <f t="shared" si="5"/>
        <v>-27915.827077488801</v>
      </c>
      <c r="T34" s="15">
        <f t="shared" si="5"/>
        <v>-29517.393346912642</v>
      </c>
      <c r="U34" s="15">
        <f t="shared" si="5"/>
        <v>-31210.843496697122</v>
      </c>
      <c r="V34" s="15">
        <f t="shared" si="5"/>
        <v>-33001.44902114835</v>
      </c>
      <c r="W34" s="15">
        <f t="shared" si="5"/>
        <v>-34894.783846860999</v>
      </c>
      <c r="X34" s="15">
        <f t="shared" si="5"/>
        <v>-36896.741683640801</v>
      </c>
      <c r="Y34" s="15">
        <f t="shared" si="5"/>
        <v>-39013.554370871403</v>
      </c>
      <c r="Z34" s="56"/>
    </row>
    <row r="35" spans="2:26" x14ac:dyDescent="0.2">
      <c r="B35" s="13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2:26" s="27" customFormat="1" x14ac:dyDescent="0.2">
      <c r="B36" s="136" t="s">
        <v>227</v>
      </c>
      <c r="E36" s="80" t="s">
        <v>117</v>
      </c>
      <c r="F36" s="17">
        <f>F27+F29+F34</f>
        <v>20474.7283876824</v>
      </c>
      <c r="G36" s="17">
        <f t="shared" ref="G36:Y36" si="6">G27+G29+G34</f>
        <v>26857.591375811608</v>
      </c>
      <c r="H36" s="17">
        <f t="shared" si="6"/>
        <v>39924.683828376066</v>
      </c>
      <c r="I36" s="17">
        <f t="shared" si="6"/>
        <v>60584.372277337476</v>
      </c>
      <c r="J36" s="17">
        <f t="shared" si="6"/>
        <v>79429.947971672751</v>
      </c>
      <c r="K36" s="17">
        <f t="shared" si="6"/>
        <v>102935.63023861274</v>
      </c>
      <c r="L36" s="17">
        <f t="shared" si="6"/>
        <v>112977.08699375084</v>
      </c>
      <c r="M36" s="17">
        <f t="shared" si="6"/>
        <v>144283.36882423679</v>
      </c>
      <c r="N36" s="17">
        <f t="shared" si="6"/>
        <v>186221.96511015561</v>
      </c>
      <c r="O36" s="17">
        <f t="shared" si="6"/>
        <v>237380.55267970412</v>
      </c>
      <c r="P36" s="17">
        <f t="shared" si="6"/>
        <v>295885.32600366481</v>
      </c>
      <c r="Q36" s="17">
        <f t="shared" si="6"/>
        <v>362886.29313566739</v>
      </c>
      <c r="R36" s="17">
        <f t="shared" si="6"/>
        <v>434767.25844641967</v>
      </c>
      <c r="S36" s="17">
        <f t="shared" si="6"/>
        <v>521764.27666034614</v>
      </c>
      <c r="T36" s="17">
        <f t="shared" si="6"/>
        <v>626609.72066864627</v>
      </c>
      <c r="U36" s="17">
        <f t="shared" si="6"/>
        <v>740300.26052296406</v>
      </c>
      <c r="V36" s="17">
        <f t="shared" si="6"/>
        <v>821295.32427643263</v>
      </c>
      <c r="W36" s="17">
        <f t="shared" si="6"/>
        <v>914376.9736124099</v>
      </c>
      <c r="X36" s="17">
        <f t="shared" si="6"/>
        <v>1026394.2425163556</v>
      </c>
      <c r="Y36" s="17">
        <f t="shared" si="6"/>
        <v>1147613.2871657591</v>
      </c>
      <c r="Z36" s="56"/>
    </row>
    <row r="37" spans="2:26" x14ac:dyDescent="0.2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2:26" x14ac:dyDescent="0.2">
      <c r="B38" s="146" t="s">
        <v>80</v>
      </c>
      <c r="F38" s="164">
        <f t="shared" ref="F38:Y38" si="7">F17-F36</f>
        <v>0</v>
      </c>
      <c r="G38" s="164">
        <f t="shared" si="7"/>
        <v>0</v>
      </c>
      <c r="H38" s="164">
        <f t="shared" si="7"/>
        <v>0</v>
      </c>
      <c r="I38" s="164">
        <f t="shared" si="7"/>
        <v>0</v>
      </c>
      <c r="J38" s="164">
        <f t="shared" si="7"/>
        <v>0</v>
      </c>
      <c r="K38" s="164">
        <f t="shared" si="7"/>
        <v>0</v>
      </c>
      <c r="L38" s="164">
        <f t="shared" si="7"/>
        <v>0</v>
      </c>
      <c r="M38" s="164">
        <f t="shared" si="7"/>
        <v>0</v>
      </c>
      <c r="N38" s="164">
        <f t="shared" si="7"/>
        <v>0</v>
      </c>
      <c r="O38" s="164">
        <f t="shared" si="7"/>
        <v>0</v>
      </c>
      <c r="P38" s="164">
        <f t="shared" si="7"/>
        <v>0</v>
      </c>
      <c r="Q38" s="164">
        <f t="shared" si="7"/>
        <v>-434.59090909094084</v>
      </c>
      <c r="R38" s="164">
        <f t="shared" si="7"/>
        <v>-434.59090909099905</v>
      </c>
      <c r="S38" s="164">
        <f t="shared" si="7"/>
        <v>-434.59090909099905</v>
      </c>
      <c r="T38" s="164">
        <f t="shared" si="7"/>
        <v>-434.59090909094084</v>
      </c>
      <c r="U38" s="164">
        <f t="shared" si="7"/>
        <v>-434.59090909094084</v>
      </c>
      <c r="V38" s="164">
        <f t="shared" si="7"/>
        <v>-434.59090909105726</v>
      </c>
      <c r="W38" s="164">
        <f t="shared" si="7"/>
        <v>-434.59090909105726</v>
      </c>
      <c r="X38" s="164">
        <f t="shared" si="7"/>
        <v>-434.59090909094084</v>
      </c>
      <c r="Y38" s="164">
        <f t="shared" si="7"/>
        <v>-434.59090909082443</v>
      </c>
    </row>
    <row r="39" spans="2:26" x14ac:dyDescent="0.2">
      <c r="H39" s="56"/>
      <c r="V39" s="56"/>
    </row>
  </sheetData>
  <mergeCells count="1">
    <mergeCell ref="A2:D2"/>
  </mergeCells>
  <hyperlinks>
    <hyperlink ref="D1" r:id="rId1"/>
  </hyperlink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Окружение</vt:lpstr>
      <vt:lpstr>Пр-во и Продажи</vt:lpstr>
      <vt:lpstr>Персонал</vt:lpstr>
      <vt:lpstr>Затраты</vt:lpstr>
      <vt:lpstr>Оборот. К.</vt:lpstr>
      <vt:lpstr>НА и ОС</vt:lpstr>
      <vt:lpstr>Финан-е</vt:lpstr>
      <vt:lpstr>Анализ рисков</vt:lpstr>
      <vt:lpstr>Форма 1</vt:lpstr>
      <vt:lpstr>Форма 2</vt:lpstr>
      <vt:lpstr>CF</vt:lpstr>
      <vt:lpstr>Анализ проекта</vt:lpstr>
      <vt:lpstr>Прогнозные отчеты</vt:lpstr>
      <vt:lpstr>Общий анализ</vt:lpstr>
      <vt:lpstr>Горизонт. анализ</vt:lpstr>
      <vt:lpstr>Вертикальный анализ</vt:lpstr>
      <vt:lpstr>Анализ рентабельности</vt:lpstr>
      <vt:lpstr>Анализ ликвидности</vt:lpstr>
      <vt:lpstr>Анализ платежеспособности</vt:lpstr>
      <vt:lpstr>Анализ оборачиваемости</vt:lpstr>
      <vt:lpstr>Анализ долг. и налог. нагрузки</vt:lpstr>
      <vt:lpstr>Лист1</vt:lpstr>
    </vt:vector>
  </TitlesOfParts>
  <Company>http://mxplus.ru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Моделька для студенчегов</dc:title>
  <dc:creator>Наномаркеровщики</dc:creator>
  <dc:description>Live Fast Die Funny!</dc:description>
  <cp:lastModifiedBy>Simonova.O</cp:lastModifiedBy>
  <dcterms:created xsi:type="dcterms:W3CDTF">2007-01-28T14:02:49Z</dcterms:created>
  <dcterms:modified xsi:type="dcterms:W3CDTF">2016-04-13T09:17:18Z</dcterms:modified>
</cp:coreProperties>
</file>