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unukpo\Documents\UCF School\"/>
    </mc:Choice>
  </mc:AlternateContent>
  <xr:revisionPtr revIDLastSave="0" documentId="13_ncr:1_{FDB2459F-0FE0-4AC2-A288-3269D09AE999}" xr6:coauthVersionLast="43" xr6:coauthVersionMax="43" xr10:uidLastSave="{00000000-0000-0000-0000-000000000000}"/>
  <bookViews>
    <workbookView xWindow="-110" yWindow="-110" windowWidth="19420" windowHeight="10420" activeTab="3" xr2:uid="{00000000-000D-0000-FFFF-FFFF00000000}"/>
  </bookViews>
  <sheets>
    <sheet name="Sheet2" sheetId="4" r:id="rId1"/>
    <sheet name="Sheet3" sheetId="5" r:id="rId2"/>
    <sheet name="Sheet4" sheetId="7" r:id="rId3"/>
    <sheet name="Sheet1" sheetId="1" r:id="rId4"/>
    <sheet name="Sheet5" sheetId="8" r:id="rId5"/>
  </sheet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3" i="8" l="1"/>
  <c r="I4" i="8"/>
  <c r="I5" i="8"/>
  <c r="I6" i="8"/>
  <c r="I7" i="8"/>
  <c r="I8" i="8"/>
  <c r="I9" i="8"/>
  <c r="I10" i="8"/>
  <c r="I11" i="8"/>
  <c r="I12" i="8"/>
  <c r="I13" i="8"/>
  <c r="I2" i="8"/>
  <c r="H3" i="8"/>
  <c r="H4" i="8"/>
  <c r="H5" i="8"/>
  <c r="H6" i="8"/>
  <c r="H7" i="8"/>
  <c r="H8" i="8"/>
  <c r="H9" i="8"/>
  <c r="H10" i="8"/>
  <c r="H11" i="8"/>
  <c r="H12" i="8"/>
  <c r="H13" i="8"/>
  <c r="H2" i="8"/>
  <c r="G5" i="8"/>
  <c r="G6" i="8"/>
  <c r="G7" i="8"/>
  <c r="G8" i="8"/>
  <c r="G9" i="8"/>
  <c r="G10" i="8"/>
  <c r="G11" i="8"/>
  <c r="G12" i="8"/>
  <c r="G13" i="8"/>
  <c r="G3" i="8"/>
  <c r="G4" i="8"/>
  <c r="G2" i="8"/>
  <c r="E12" i="8"/>
  <c r="E11" i="8"/>
  <c r="E10" i="8"/>
  <c r="E9" i="8"/>
  <c r="E8" i="8"/>
  <c r="E7" i="8"/>
  <c r="E6" i="8"/>
  <c r="E5" i="8"/>
  <c r="E4" i="8"/>
  <c r="E3" i="8"/>
  <c r="D11" i="8"/>
  <c r="D10" i="8"/>
  <c r="D9" i="8"/>
  <c r="D8" i="8"/>
  <c r="D7" i="8"/>
  <c r="D6" i="8"/>
  <c r="D5" i="8"/>
  <c r="D4" i="8"/>
  <c r="D3" i="8"/>
  <c r="D12" i="8"/>
  <c r="C12" i="8"/>
  <c r="C11" i="8"/>
  <c r="C10" i="8"/>
  <c r="C9" i="8"/>
  <c r="C8" i="8"/>
  <c r="C7" i="8"/>
  <c r="C6" i="8"/>
  <c r="C5" i="8"/>
  <c r="C4" i="8"/>
  <c r="C3" i="8"/>
  <c r="E13" i="8"/>
  <c r="D13" i="8"/>
  <c r="C13" i="8"/>
  <c r="F11" i="8" l="1"/>
  <c r="F10" i="8"/>
  <c r="F9" i="8"/>
  <c r="F8" i="8"/>
  <c r="F7" i="8"/>
  <c r="F6" i="8"/>
  <c r="F5" i="8"/>
  <c r="F4" i="8"/>
  <c r="F3" i="8"/>
  <c r="F12" i="8"/>
  <c r="F13" i="8"/>
  <c r="F2" i="8"/>
  <c r="E2" i="8"/>
  <c r="D2" i="8"/>
  <c r="C2" i="8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T3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6" i="1"/>
  <c r="S7" i="1"/>
  <c r="S8" i="1"/>
  <c r="S3" i="1"/>
  <c r="S4" i="1"/>
  <c r="S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3890" i="1"/>
  <c r="Q389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R3870" i="1"/>
  <c r="Q387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R3810" i="1"/>
  <c r="Q381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R3750" i="1"/>
  <c r="Q375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R3210" i="1"/>
  <c r="Q321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R3190" i="1"/>
  <c r="Q319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R3130" i="1"/>
  <c r="Q3130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R2983" i="1"/>
  <c r="Q2983" i="1"/>
  <c r="Q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R296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R2943" i="1"/>
  <c r="Q294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R2923" i="1"/>
  <c r="Q292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R2783" i="1"/>
  <c r="Q278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R2743" i="1"/>
  <c r="Q274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R2723" i="1"/>
  <c r="Q272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R2703" i="1"/>
  <c r="Q270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R2683" i="1"/>
  <c r="Q268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R2663" i="1"/>
  <c r="Q266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R2603" i="1"/>
  <c r="Q260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R2563" i="1"/>
  <c r="Q256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R2523" i="1"/>
  <c r="Q252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R2503" i="1"/>
  <c r="Q250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R2463" i="1"/>
  <c r="Q246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R2443" i="1"/>
  <c r="Q2443" i="1"/>
  <c r="Q2442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R2442" i="1"/>
  <c r="R2403" i="1"/>
  <c r="Q240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R2343" i="1"/>
  <c r="Q234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R2323" i="1"/>
  <c r="Q232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R2303" i="1"/>
  <c r="Q230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R2283" i="1"/>
  <c r="Q228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R2223" i="1"/>
  <c r="Q222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R2203" i="1"/>
  <c r="Q220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R2183" i="1"/>
  <c r="Q218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R2163" i="1"/>
  <c r="Q216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R2123" i="1"/>
  <c r="Q212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R2083" i="1"/>
  <c r="Q208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R2003" i="1"/>
  <c r="Q200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R1983" i="1"/>
  <c r="Q198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R1943" i="1"/>
  <c r="Q194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R1923" i="1"/>
  <c r="Q192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R1903" i="1"/>
  <c r="Q190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R1883" i="1"/>
  <c r="Q188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R1863" i="1"/>
  <c r="Q186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R1823" i="1"/>
  <c r="Q182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R1743" i="1"/>
  <c r="Q174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R1683" i="1"/>
  <c r="Q168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R1643" i="1"/>
  <c r="Q164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R1603" i="1"/>
  <c r="Q160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R1583" i="1"/>
  <c r="Q158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R1563" i="1"/>
  <c r="Q156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R1543" i="1"/>
  <c r="Q154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R1503" i="1"/>
  <c r="Q150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R1483" i="1"/>
  <c r="Q148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R1463" i="1"/>
  <c r="Q1463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R1406" i="1"/>
  <c r="Q140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R1366" i="1"/>
  <c r="Q136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R1346" i="1"/>
  <c r="Q134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R1306" i="1"/>
  <c r="Q130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R1286" i="1"/>
  <c r="Q128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R1246" i="1"/>
  <c r="Q124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R1226" i="1"/>
  <c r="Q122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R1186" i="1"/>
  <c r="Q1186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47" i="1"/>
  <c r="R1147" i="1"/>
  <c r="R1146" i="1"/>
  <c r="Q1146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27" i="1"/>
  <c r="R1127" i="1"/>
  <c r="R1126" i="1"/>
  <c r="Q112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R1066" i="1"/>
  <c r="Q1066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R1042" i="1"/>
  <c r="Q104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R1022" i="1"/>
  <c r="Q102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R942" i="1"/>
  <c r="Q942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03" i="1"/>
  <c r="R903" i="1"/>
  <c r="R902" i="1"/>
  <c r="Q90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R882" i="1"/>
  <c r="Q88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R862" i="1"/>
  <c r="Q86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R842" i="1"/>
  <c r="Q84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R782" i="1"/>
  <c r="R781" i="1"/>
  <c r="Q782" i="1"/>
  <c r="Q781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63" i="1"/>
  <c r="R763" i="1"/>
  <c r="R762" i="1"/>
  <c r="R761" i="1"/>
  <c r="Q762" i="1"/>
  <c r="Q761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R722" i="1"/>
  <c r="R721" i="1"/>
  <c r="Q722" i="1"/>
  <c r="Q721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R642" i="1"/>
  <c r="R641" i="1"/>
  <c r="Q642" i="1"/>
  <c r="Q641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543" i="1"/>
  <c r="R543" i="1"/>
  <c r="R542" i="1"/>
  <c r="R541" i="1"/>
  <c r="Q542" i="1"/>
  <c r="Q541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23" i="1"/>
  <c r="R523" i="1"/>
  <c r="R522" i="1"/>
  <c r="R521" i="1"/>
  <c r="Q522" i="1"/>
  <c r="Q521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423" i="1"/>
  <c r="R423" i="1"/>
  <c r="R422" i="1"/>
  <c r="R421" i="1"/>
  <c r="Q422" i="1"/>
  <c r="Q421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243" i="1"/>
  <c r="R243" i="1"/>
  <c r="R242" i="1"/>
  <c r="R241" i="1"/>
  <c r="Q242" i="1"/>
  <c r="Q241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R163" i="1"/>
  <c r="R162" i="1"/>
  <c r="R161" i="1"/>
  <c r="Q163" i="1"/>
  <c r="Q162" i="1"/>
  <c r="Q161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R123" i="1"/>
  <c r="Q123" i="1"/>
  <c r="R122" i="1"/>
  <c r="Q122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R63" i="1"/>
  <c r="Q63" i="1"/>
  <c r="R62" i="1"/>
  <c r="Q62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R3" i="1"/>
  <c r="Q3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<sst xmlns="http://schemas.openxmlformats.org/spreadsheetml/2006/main" count="24825" uniqueCount="8402">
  <si>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</si>
  <si>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</si>
  <si>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</si>
  <si>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</si>
  <si>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</si>
  <si>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</si>
  <si>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</si>
  <si>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</si>
  <si>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</si>
  <si>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</si>
  <si>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</si>
  <si>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</si>
  <si>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</si>
  <si>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</si>
  <si>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</si>
  <si>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</si>
  <si>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</si>
  <si>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</si>
  <si>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</si>
  <si>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</si>
  <si>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</si>
  <si>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</si>
  <si>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</si>
  <si>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</si>
  <si>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</si>
  <si>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</si>
  <si>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</si>
  <si>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</si>
  <si>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</si>
  <si>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</si>
  <si>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</si>
  <si>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</si>
  <si>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</si>
  <si>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</si>
  <si>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</si>
  <si>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</si>
  <si>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</si>
  <si>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</si>
  <si>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</si>
  <si>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</si>
  <si>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</si>
  <si>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</si>
  <si>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</si>
  <si>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</si>
  <si>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</si>
  <si>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</si>
  <si>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</si>
  <si>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</si>
  <si>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</si>
  <si>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</si>
  <si>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</si>
  <si>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</si>
  <si>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</si>
  <si>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</si>
  <si>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</si>
  <si>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</si>
  <si>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</si>
  <si>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</si>
  <si>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</si>
  <si>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</si>
  <si>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</si>
  <si>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</si>
  <si>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</si>
  <si>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</si>
  <si>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</si>
  <si>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</si>
  <si>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</si>
  <si>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</si>
  <si>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</si>
  <si>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</si>
  <si>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</si>
  <si>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</si>
  <si>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</si>
  <si>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</si>
  <si>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</si>
  <si>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</si>
  <si>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</si>
  <si>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</si>
  <si>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</si>
  <si>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</si>
  <si>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</si>
  <si>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</si>
  <si>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</si>
  <si>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</si>
  <si>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</si>
  <si>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</si>
  <si>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</si>
  <si>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</si>
  <si>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</si>
  <si>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</si>
  <si>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</si>
  <si>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</si>
  <si>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</si>
  <si>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</si>
  <si>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</si>
  <si>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</si>
  <si>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</si>
  <si>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</si>
  <si>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</si>
  <si>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</si>
  <si>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</si>
  <si>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</si>
  <si>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</si>
  <si>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</si>
  <si>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</si>
  <si>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</si>
  <si>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</si>
  <si>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</si>
  <si>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</si>
  <si>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</si>
  <si>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</si>
  <si>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</si>
  <si>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</si>
  <si>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</si>
  <si>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</si>
  <si>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</si>
  <si>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</si>
  <si>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</si>
  <si>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</si>
  <si>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</si>
  <si>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</si>
  <si>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</si>
  <si>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</si>
  <si>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</si>
  <si>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</si>
  <si>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</si>
  <si>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</si>
  <si>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</si>
  <si>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</si>
  <si>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</si>
  <si>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</si>
  <si>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</si>
  <si>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</si>
  <si>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</si>
  <si>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</si>
  <si>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</si>
  <si>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</si>
  <si>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</si>
  <si>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</si>
  <si>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</si>
  <si>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</si>
  <si>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</si>
  <si>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</si>
  <si>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</si>
  <si>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</si>
  <si>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</si>
  <si>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</si>
  <si>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</si>
  <si>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</si>
  <si>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</si>
  <si>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</si>
  <si>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</si>
  <si>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</si>
  <si>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</si>
  <si>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</si>
  <si>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</si>
  <si>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</si>
  <si>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</si>
  <si>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</si>
  <si>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</si>
  <si>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</si>
  <si>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</si>
  <si>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</si>
  <si>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</si>
  <si>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</si>
  <si>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</si>
  <si>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</si>
  <si>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</si>
  <si>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</si>
  <si>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</si>
  <si>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</si>
  <si>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</si>
  <si>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</si>
  <si>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</si>
  <si>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</si>
  <si>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</si>
  <si>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</si>
  <si>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</si>
  <si>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</si>
  <si>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</si>
  <si>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</si>
  <si>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</si>
  <si>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</si>
  <si>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</si>
  <si>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</si>
  <si>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</si>
  <si>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</si>
  <si>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</si>
  <si>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</si>
  <si>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</si>
  <si>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</si>
  <si>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</si>
  <si>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</si>
  <si>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</si>
  <si>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</si>
  <si>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</si>
  <si>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</si>
  <si>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</si>
  <si>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</si>
  <si>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</si>
  <si>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</si>
  <si>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</si>
  <si>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</si>
  <si>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</si>
  <si>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</si>
  <si>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</si>
  <si>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</si>
  <si>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</si>
  <si>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</si>
  <si>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</si>
  <si>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</si>
  <si>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</si>
  <si>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</si>
  <si>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</si>
  <si>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</si>
  <si>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</si>
  <si>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</si>
  <si>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</si>
  <si>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</si>
  <si>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</si>
  <si>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</si>
  <si>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</si>
  <si>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</si>
  <si>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</si>
  <si>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</si>
  <si>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</si>
  <si>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</si>
  <si>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</si>
  <si>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</si>
  <si>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</si>
  <si>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</si>
  <si>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</si>
  <si>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</si>
  <si>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</si>
  <si>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</si>
  <si>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</si>
  <si>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</si>
  <si>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</si>
  <si>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</si>
  <si>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</si>
  <si>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</si>
  <si>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</si>
  <si>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</si>
  <si>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</si>
  <si>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</si>
  <si>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</si>
  <si>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</si>
  <si>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</si>
  <si>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</si>
  <si>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</si>
  <si>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</si>
  <si>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</si>
  <si>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</si>
  <si>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</si>
  <si>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</si>
  <si>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</si>
  <si>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</si>
  <si>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</si>
  <si>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</si>
  <si>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</si>
  <si>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</si>
  <si>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</si>
  <si>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</si>
  <si>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</si>
  <si>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</si>
  <si>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</si>
  <si>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</si>
  <si>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</si>
  <si>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</si>
  <si>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</si>
  <si>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</si>
  <si>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</si>
  <si>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</si>
  <si>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</si>
  <si>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</si>
  <si>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</si>
  <si>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</si>
  <si>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</si>
  <si>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</si>
  <si>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</si>
  <si>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</si>
  <si>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</si>
  <si>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</si>
  <si>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</si>
  <si>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</si>
  <si>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</si>
  <si>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</si>
  <si>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</si>
  <si>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</si>
  <si>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</si>
  <si>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</si>
  <si>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</si>
  <si>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</si>
  <si>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</si>
  <si>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</si>
  <si>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</si>
  <si>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</si>
  <si>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</si>
  <si>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</si>
  <si>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</si>
  <si>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</si>
  <si>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</si>
  <si>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</si>
  <si>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</si>
  <si>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</si>
  <si>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</si>
  <si>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</si>
  <si>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</si>
  <si>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</si>
  <si>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</si>
  <si>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</si>
  <si>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</si>
  <si>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</si>
  <si>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</si>
  <si>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</si>
  <si>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</si>
  <si>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</si>
  <si>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</si>
  <si>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</si>
  <si>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</si>
  <si>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</si>
  <si>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</si>
  <si>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</si>
  <si>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</si>
  <si>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</si>
  <si>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</si>
  <si>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</si>
  <si>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</si>
  <si>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</si>
  <si>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</si>
  <si>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</si>
  <si>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</si>
  <si>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</si>
  <si>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</si>
  <si>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</si>
  <si>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</si>
  <si>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</si>
  <si>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</si>
  <si>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</si>
  <si>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</si>
  <si>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</si>
  <si>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</si>
  <si>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</si>
  <si>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</si>
  <si>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</si>
  <si>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</si>
  <si>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</si>
  <si>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</si>
  <si>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</si>
  <si>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</si>
  <si>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</si>
  <si>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</si>
  <si>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</si>
  <si>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</si>
  <si>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</si>
  <si>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</si>
  <si>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</si>
  <si>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</si>
  <si>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</si>
  <si>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</si>
  <si>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</si>
  <si>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</si>
  <si>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</si>
  <si>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</si>
  <si>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</si>
  <si>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</si>
  <si>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</si>
  <si>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</si>
  <si>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</si>
  <si>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</si>
  <si>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</si>
  <si>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</si>
  <si>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</si>
  <si>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</si>
  <si>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</si>
  <si>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</si>
  <si>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</si>
  <si>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</si>
  <si>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</si>
  <si>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</si>
  <si>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</si>
  <si>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</si>
  <si>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</si>
  <si>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</si>
  <si>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</si>
  <si>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</si>
  <si>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</si>
  <si>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</si>
  <si>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</si>
  <si>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</si>
  <si>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</si>
  <si>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</si>
  <si>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</si>
  <si>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</si>
  <si>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</si>
  <si>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</si>
  <si>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</si>
  <si>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</si>
  <si>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</si>
  <si>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</si>
  <si>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</si>
  <si>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</si>
  <si>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</si>
  <si>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</si>
  <si>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</si>
  <si>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</si>
  <si>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</si>
  <si>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</si>
  <si>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</si>
  <si>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</si>
  <si>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</si>
  <si>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</si>
  <si>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</si>
  <si>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</si>
  <si>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</si>
  <si>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</si>
  <si>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</si>
  <si>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</si>
  <si>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</si>
  <si>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</si>
  <si>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</si>
  <si>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</si>
  <si>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</si>
  <si>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</si>
  <si>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</si>
  <si>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</si>
  <si>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</si>
  <si>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</si>
  <si>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</si>
  <si>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</si>
  <si>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</si>
  <si>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</si>
  <si>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</si>
  <si>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</si>
  <si>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</si>
  <si>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</si>
  <si>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</si>
  <si>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</si>
  <si>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</si>
  <si>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</si>
  <si>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</si>
  <si>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</si>
  <si>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</si>
  <si>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</si>
  <si>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</si>
  <si>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</si>
  <si>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</si>
  <si>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</si>
  <si>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</si>
  <si>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</si>
  <si>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</si>
  <si>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</si>
  <si>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</si>
  <si>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</si>
  <si>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</si>
  <si>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</si>
  <si>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</si>
  <si>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</si>
  <si>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</si>
  <si>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</si>
  <si>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</si>
  <si>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</si>
  <si>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</si>
  <si>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</si>
  <si>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</si>
  <si>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</si>
  <si>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</si>
  <si>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</si>
  <si>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</si>
  <si>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</si>
  <si>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</si>
  <si>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</si>
  <si>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</si>
  <si>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</si>
  <si>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</si>
  <si>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</si>
  <si>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</si>
  <si>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</si>
  <si>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</si>
  <si>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</si>
  <si>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</si>
  <si>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</si>
  <si>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</si>
  <si>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</si>
  <si>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</si>
  <si>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</si>
  <si>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</si>
  <si>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</si>
  <si>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</si>
  <si>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</si>
  <si>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</si>
  <si>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</si>
  <si>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</si>
  <si>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</si>
  <si>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</si>
  <si>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</si>
  <si>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</si>
  <si>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</si>
  <si>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</si>
  <si>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</si>
  <si>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</si>
  <si>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</si>
  <si>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</si>
  <si>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</si>
  <si>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</si>
  <si>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</si>
  <si>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</si>
  <si>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</si>
  <si>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</si>
  <si>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</si>
  <si>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</si>
  <si>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</si>
  <si>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</si>
  <si>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</si>
  <si>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</si>
  <si>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</si>
  <si>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</si>
  <si>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</si>
  <si>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</si>
  <si>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</si>
  <si>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</si>
  <si>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</si>
  <si>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</si>
  <si>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</si>
  <si>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</si>
  <si>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</si>
  <si>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</si>
  <si>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</si>
  <si>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</si>
  <si>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</si>
  <si>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</si>
  <si>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</si>
  <si>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</si>
  <si>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</si>
  <si>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</si>
  <si>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</si>
  <si>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</si>
  <si>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</si>
  <si>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</si>
  <si>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</si>
  <si>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</si>
  <si>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</si>
  <si>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</si>
  <si>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</si>
  <si>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</si>
  <si>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</si>
  <si>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</si>
  <si>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</si>
  <si>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</si>
  <si>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</si>
  <si>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</si>
  <si>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</si>
  <si>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</si>
  <si>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</si>
  <si>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</si>
  <si>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</si>
  <si>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</si>
  <si>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</si>
  <si>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</si>
  <si>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</si>
  <si>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</si>
  <si>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</si>
  <si>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</si>
  <si>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</si>
  <si>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</si>
  <si>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</si>
  <si>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</si>
  <si>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</si>
  <si>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</si>
  <si>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</si>
  <si>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</si>
  <si>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</si>
  <si>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</si>
  <si>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</si>
  <si>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</si>
  <si>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</si>
  <si>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</si>
  <si>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</si>
  <si>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</si>
  <si>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</si>
  <si>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</si>
  <si>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</si>
  <si>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</si>
  <si>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</si>
  <si>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</si>
  <si>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</si>
  <si>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</si>
  <si>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</si>
  <si>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</si>
  <si>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</si>
  <si>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</si>
  <si>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</si>
  <si>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</si>
  <si>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</si>
  <si>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</si>
  <si>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</si>
  <si>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</si>
  <si>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</si>
  <si>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</si>
  <si>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</si>
  <si>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</si>
  <si>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</si>
  <si>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</si>
  <si>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</si>
  <si>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</si>
  <si>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</si>
  <si>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</si>
  <si>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</si>
  <si>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</si>
  <si>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</si>
  <si>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</si>
  <si>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</si>
  <si>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</si>
  <si>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</si>
  <si>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</si>
  <si>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</si>
  <si>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</si>
  <si>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</si>
  <si>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</si>
  <si>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</si>
  <si>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</si>
  <si>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</si>
  <si>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</si>
  <si>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</si>
  <si>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</si>
  <si>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</si>
  <si>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</si>
  <si>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</si>
  <si>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</si>
  <si>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</si>
  <si>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</si>
  <si>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</si>
  <si>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</si>
  <si>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</si>
  <si>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</si>
  <si>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</si>
  <si>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</si>
  <si>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</si>
  <si>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</si>
  <si>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</si>
  <si>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</si>
  <si>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</si>
  <si>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</si>
  <si>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</si>
  <si>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</si>
  <si>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</si>
  <si>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</si>
  <si>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</si>
  <si>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</si>
  <si>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</si>
  <si>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</si>
  <si>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</si>
  <si>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</si>
  <si>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</si>
  <si>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</si>
  <si>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</si>
  <si>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</si>
  <si>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</si>
  <si>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</si>
  <si>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</si>
  <si>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</si>
  <si>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</si>
  <si>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</si>
  <si>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</si>
  <si>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</si>
  <si>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</si>
  <si>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</si>
  <si>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</si>
  <si>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</si>
  <si>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</si>
  <si>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</si>
  <si>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</si>
  <si>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</si>
  <si>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</si>
  <si>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</si>
  <si>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</si>
  <si>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</si>
  <si>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</si>
  <si>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</si>
  <si>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</si>
  <si>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</si>
  <si>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</si>
  <si>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</si>
  <si>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</si>
  <si>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</si>
  <si>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</si>
  <si>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</si>
  <si>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</si>
  <si>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</si>
  <si>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</si>
  <si>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</si>
  <si>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</si>
  <si>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</si>
  <si>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</si>
  <si>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</si>
  <si>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</si>
  <si>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</si>
  <si>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</si>
  <si>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</si>
  <si>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</si>
  <si>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</si>
  <si>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</si>
  <si>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</si>
  <si>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</si>
  <si>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</si>
  <si>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</si>
  <si>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</si>
  <si>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</si>
  <si>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</si>
  <si>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</si>
  <si>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</si>
  <si>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</si>
  <si>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</si>
  <si>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</si>
  <si>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</si>
  <si>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</si>
  <si>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</si>
  <si>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</si>
  <si>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</si>
  <si>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</si>
  <si>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</si>
  <si>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</si>
  <si>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</si>
  <si>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</si>
  <si>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</si>
  <si>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</si>
  <si>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</si>
  <si>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</si>
  <si>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</si>
  <si>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</si>
  <si>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</si>
  <si>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</si>
  <si>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</si>
  <si>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</si>
  <si>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</si>
  <si>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</si>
  <si>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</si>
  <si>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</si>
  <si>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</si>
  <si>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</si>
  <si>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</si>
  <si>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</si>
  <si>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</si>
  <si>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</si>
  <si>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</si>
  <si>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</si>
  <si>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</si>
  <si>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</si>
  <si>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</si>
  <si>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</si>
  <si>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</si>
  <si>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</si>
  <si>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</si>
  <si>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</si>
  <si>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</si>
  <si>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</si>
  <si>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</si>
  <si>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</si>
  <si>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</si>
  <si>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</si>
  <si>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</si>
  <si>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</si>
  <si>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</si>
  <si>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</si>
  <si>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</si>
  <si>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</si>
  <si>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</si>
  <si>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</si>
  <si>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</si>
  <si>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</si>
  <si>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</si>
  <si>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</si>
  <si>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</si>
  <si>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</si>
  <si>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</si>
  <si>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</si>
  <si>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</si>
  <si>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</si>
  <si>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</si>
  <si>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</si>
  <si>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</si>
  <si>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</si>
  <si>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</si>
  <si>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</si>
  <si>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</si>
  <si>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</si>
  <si>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</si>
  <si>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</si>
  <si>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</si>
  <si>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</si>
  <si>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</si>
  <si>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</si>
  <si>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</si>
  <si>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</si>
  <si>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</si>
  <si>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</si>
  <si>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</si>
  <si>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</si>
  <si>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</si>
  <si>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</si>
  <si>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</si>
  <si>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</si>
  <si>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</si>
  <si>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</si>
  <si>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</si>
  <si>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</si>
  <si>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</si>
  <si>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</si>
  <si>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</si>
  <si>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</si>
  <si>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</si>
  <si>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</si>
  <si>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</si>
  <si>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</si>
  <si>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</si>
  <si>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</si>
  <si>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</si>
  <si>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</si>
  <si>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</si>
  <si>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</si>
  <si>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</si>
  <si>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</si>
  <si>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</si>
  <si>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</si>
  <si>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</si>
  <si>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</si>
  <si>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</si>
  <si>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</si>
  <si>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</si>
  <si>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</si>
  <si>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</si>
  <si>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</si>
  <si>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</si>
  <si>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</si>
  <si>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</si>
  <si>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</si>
  <si>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</si>
  <si>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</si>
  <si>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</si>
  <si>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</si>
  <si>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</si>
  <si>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</si>
  <si>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</si>
  <si>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</si>
  <si>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</si>
  <si>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</si>
  <si>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</si>
  <si>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</si>
  <si>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</si>
  <si>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</si>
  <si>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</si>
  <si>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</si>
  <si>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</si>
  <si>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</si>
  <si>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</si>
  <si>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</si>
  <si>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</si>
  <si>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</si>
  <si>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</si>
  <si>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</si>
  <si>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</si>
  <si>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</si>
  <si>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</si>
  <si>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</si>
  <si>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</si>
  <si>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</si>
  <si>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</si>
  <si>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</si>
  <si>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</si>
  <si>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</si>
  <si>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</si>
  <si>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</si>
  <si>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</si>
  <si>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</si>
  <si>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</si>
  <si>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</si>
  <si>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</si>
  <si>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</si>
  <si>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</si>
  <si>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</si>
  <si>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</si>
  <si>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</si>
  <si>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</si>
  <si>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</si>
  <si>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</si>
  <si>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</si>
  <si>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</si>
  <si>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</si>
  <si>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</si>
  <si>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</si>
  <si>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</si>
  <si>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</si>
  <si>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</si>
  <si>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</si>
  <si>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</si>
  <si>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</si>
  <si>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</si>
  <si>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</si>
  <si>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</si>
  <si>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</si>
  <si>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</si>
  <si>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</si>
  <si>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</si>
  <si>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</si>
  <si>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</si>
  <si>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</si>
  <si>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</si>
  <si>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</si>
  <si>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</si>
  <si>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</si>
  <si>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</si>
  <si>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</si>
  <si>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</si>
  <si>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</si>
  <si>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</si>
  <si>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</si>
  <si>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</si>
  <si>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</si>
  <si>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</si>
  <si>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</si>
  <si>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</si>
  <si>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</si>
  <si>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</si>
  <si>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</si>
  <si>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</si>
  <si>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</si>
  <si>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</si>
  <si>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</si>
  <si>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</si>
  <si>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</si>
  <si>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</si>
  <si>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</si>
  <si>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</si>
  <si>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</si>
  <si>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</si>
  <si>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</si>
  <si>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</si>
  <si>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</si>
  <si>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</si>
  <si>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</si>
  <si>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</si>
  <si>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</si>
  <si>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</si>
  <si>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</si>
  <si>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</si>
  <si>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</si>
  <si>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</si>
  <si>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</si>
  <si>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</si>
  <si>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</si>
  <si>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</si>
  <si>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</si>
  <si>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</si>
  <si>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</si>
  <si>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</si>
  <si>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</si>
  <si>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</si>
  <si>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</si>
  <si>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</si>
  <si>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</si>
  <si>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</si>
  <si>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</si>
  <si>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</si>
  <si>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</si>
  <si>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</si>
  <si>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</si>
  <si>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</si>
  <si>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</si>
  <si>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</si>
  <si>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</si>
  <si>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</si>
  <si>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</si>
  <si>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</si>
  <si>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</si>
  <si>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</si>
  <si>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</si>
  <si>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</si>
  <si>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</si>
  <si>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</si>
  <si>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</si>
  <si>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</si>
  <si>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</si>
  <si>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</si>
  <si>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</si>
  <si>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</si>
  <si>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</si>
  <si>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</si>
  <si>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</si>
  <si>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</si>
  <si>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</si>
  <si>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</si>
  <si>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</si>
  <si>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</si>
  <si>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</si>
  <si>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</si>
  <si>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</si>
  <si>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</si>
  <si>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</si>
  <si>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</si>
  <si>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</si>
  <si>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</si>
  <si>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</si>
  <si>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</si>
  <si>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</si>
  <si>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</si>
  <si>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</si>
  <si>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</si>
  <si>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</si>
  <si>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</si>
  <si>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</si>
  <si>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</si>
  <si>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</si>
  <si>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</si>
  <si>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</si>
  <si>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</si>
  <si>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</si>
  <si>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</si>
  <si>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</si>
  <si>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</si>
  <si>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</si>
  <si>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</si>
  <si>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</si>
  <si>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</si>
  <si>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</si>
  <si>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</si>
  <si>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</si>
  <si>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</si>
  <si>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</si>
  <si>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</si>
  <si>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</si>
  <si>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</si>
  <si>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</si>
  <si>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</si>
  <si>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</si>
  <si>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</si>
  <si>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</si>
  <si>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</si>
  <si>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</si>
  <si>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</si>
  <si>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</si>
  <si>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</si>
  <si>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</si>
  <si>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</si>
  <si>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</si>
  <si>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</si>
  <si>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</si>
  <si>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</si>
  <si>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</si>
  <si>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</si>
  <si>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</si>
  <si>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</si>
  <si>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</si>
  <si>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</si>
  <si>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</si>
  <si>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</si>
  <si>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</si>
  <si>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</si>
  <si>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</si>
  <si>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</si>
  <si>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</si>
  <si>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</si>
  <si>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</si>
  <si>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</si>
  <si>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</si>
  <si>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</si>
  <si>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</si>
  <si>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</si>
  <si>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</si>
  <si>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</si>
  <si>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</si>
  <si>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</si>
  <si>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</si>
  <si>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</si>
  <si>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</si>
  <si>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</si>
  <si>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</si>
  <si>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</si>
  <si>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</si>
  <si>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</si>
  <si>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</si>
  <si>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</si>
  <si>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</si>
  <si>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</si>
  <si>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</si>
  <si>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</si>
  <si>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</si>
  <si>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</si>
  <si>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</si>
  <si>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</si>
  <si>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</si>
  <si>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</si>
  <si>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</si>
  <si>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</si>
  <si>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</si>
  <si>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</si>
  <si>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</si>
  <si>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</si>
  <si>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</si>
  <si>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</si>
  <si>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</si>
  <si>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</si>
  <si>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</si>
  <si>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</si>
  <si>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</si>
  <si>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</si>
  <si>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</si>
  <si>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</si>
  <si>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</si>
  <si>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</si>
  <si>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</si>
  <si>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</si>
  <si>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</si>
  <si>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</si>
  <si>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</si>
  <si>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</si>
  <si>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</si>
  <si>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</si>
  <si>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</si>
  <si>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</si>
  <si>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</si>
  <si>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</si>
  <si>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</si>
  <si>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</si>
  <si>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</si>
  <si>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</si>
  <si>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</si>
  <si>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</si>
  <si>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</si>
  <si>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</si>
  <si>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</si>
  <si>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</si>
  <si>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</si>
  <si>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</si>
  <si>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</si>
  <si>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</si>
  <si>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</si>
  <si>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</si>
  <si>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</si>
  <si>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</si>
  <si>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</si>
  <si>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</si>
  <si>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</si>
  <si>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</si>
  <si>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</si>
  <si>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</si>
  <si>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</si>
  <si>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</si>
  <si>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</si>
  <si>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</si>
  <si>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</si>
  <si>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</si>
  <si>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</si>
  <si>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</si>
  <si>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</si>
  <si>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</si>
  <si>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</si>
  <si>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</si>
  <si>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</si>
  <si>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</si>
  <si>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</si>
  <si>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</si>
  <si>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</si>
  <si>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</si>
  <si>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</si>
  <si>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</si>
  <si>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</si>
  <si>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</si>
  <si>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</si>
  <si>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</si>
  <si>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</si>
  <si>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</si>
  <si>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</si>
  <si>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</si>
  <si>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</si>
  <si>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</si>
  <si>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</si>
  <si>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</si>
  <si>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</si>
  <si>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</si>
  <si>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</si>
  <si>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</si>
  <si>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</si>
  <si>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</si>
  <si>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</si>
  <si>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</si>
  <si>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</si>
  <si>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</si>
  <si>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</si>
  <si>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</si>
  <si>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</si>
  <si>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</si>
  <si>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</si>
  <si>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</si>
  <si>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</si>
  <si>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</si>
  <si>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</si>
  <si>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</si>
  <si>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</si>
  <si>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</si>
  <si>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</si>
  <si>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</si>
  <si>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</si>
  <si>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</si>
  <si>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</si>
  <si>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</si>
  <si>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</si>
  <si>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</si>
  <si>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</si>
  <si>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</si>
  <si>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</si>
  <si>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</si>
  <si>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</si>
  <si>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</si>
  <si>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</si>
  <si>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</si>
  <si>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</si>
  <si>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</si>
  <si>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</si>
  <si>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</si>
  <si>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</si>
  <si>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</si>
  <si>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</si>
  <si>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</si>
  <si>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</si>
  <si>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</si>
  <si>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</si>
  <si>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</si>
  <si>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</si>
  <si>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</si>
  <si>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</si>
  <si>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</si>
  <si>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</si>
  <si>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</si>
  <si>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</si>
  <si>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</si>
  <si>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</si>
  <si>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</si>
  <si>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</si>
  <si>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</si>
  <si>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</si>
  <si>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</si>
  <si>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</si>
  <si>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</si>
  <si>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</si>
  <si>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</si>
  <si>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</si>
  <si>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</si>
  <si>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</si>
  <si>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</si>
  <si>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</si>
  <si>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</si>
  <si>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</si>
  <si>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</si>
  <si>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</si>
  <si>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</si>
  <si>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</si>
  <si>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</si>
  <si>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</si>
  <si>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</si>
  <si>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</si>
  <si>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</si>
  <si>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</si>
  <si>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</si>
  <si>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</si>
  <si>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</si>
  <si>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</si>
  <si>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</si>
  <si>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</si>
  <si>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</si>
  <si>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</si>
  <si>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</si>
  <si>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</si>
  <si>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</si>
  <si>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</si>
  <si>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</si>
  <si>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</si>
  <si>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</si>
  <si>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</si>
  <si>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</si>
  <si>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</si>
  <si>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</si>
  <si>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</si>
  <si>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</si>
  <si>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</si>
  <si>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</si>
  <si>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</si>
  <si>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</si>
  <si>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</si>
  <si>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</si>
  <si>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</si>
  <si>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</si>
  <si>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</si>
  <si>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</si>
  <si>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</si>
  <si>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</si>
  <si>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</si>
  <si>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</si>
  <si>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</si>
  <si>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</si>
  <si>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</si>
  <si>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</si>
  <si>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</si>
  <si>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</si>
  <si>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</si>
  <si>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</si>
  <si>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</si>
  <si>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</si>
  <si>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</si>
  <si>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</si>
  <si>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</si>
  <si>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</si>
  <si>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</si>
  <si>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</si>
  <si>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</si>
  <si>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</si>
  <si>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</si>
  <si>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</si>
  <si>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</si>
  <si>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</si>
  <si>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</si>
  <si>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</si>
  <si>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</si>
  <si>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</si>
  <si>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</si>
  <si>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</si>
  <si>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</si>
  <si>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</si>
  <si>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</si>
  <si>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</si>
  <si>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</si>
  <si>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</si>
  <si>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</si>
  <si>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</si>
  <si>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</si>
  <si>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</si>
  <si>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</si>
  <si>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</si>
  <si>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</si>
  <si>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</si>
  <si>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</si>
  <si>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</si>
  <si>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</si>
  <si>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</si>
  <si>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</si>
  <si>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</si>
  <si>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</si>
  <si>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</si>
  <si>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</si>
  <si>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</si>
  <si>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</si>
  <si>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</si>
  <si>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</si>
  <si>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</si>
  <si>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</si>
  <si>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</si>
  <si>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</si>
  <si>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</si>
  <si>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</si>
  <si>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</si>
  <si>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</si>
  <si>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</si>
  <si>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</si>
  <si>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</si>
  <si>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</si>
  <si>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</si>
  <si>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</si>
  <si>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</si>
  <si>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</si>
  <si>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</si>
  <si>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</si>
  <si>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</si>
  <si>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</si>
  <si>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</si>
  <si>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</si>
  <si>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</si>
  <si>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</si>
  <si>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</si>
  <si>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</si>
  <si>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</si>
  <si>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</si>
  <si>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</si>
  <si>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</si>
  <si>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</si>
  <si>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</si>
  <si>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</si>
  <si>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</si>
  <si>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</si>
  <si>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</si>
  <si>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</si>
  <si>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</si>
  <si>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</si>
  <si>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</si>
  <si>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</si>
  <si>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</si>
  <si>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</si>
  <si>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</si>
  <si>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</si>
  <si>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</si>
  <si>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</si>
  <si>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</si>
  <si>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</si>
  <si>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</si>
  <si>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</si>
  <si>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</si>
  <si>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</si>
  <si>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</si>
  <si>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</si>
  <si>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</si>
  <si>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</si>
  <si>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</si>
  <si>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</si>
  <si>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</si>
  <si>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</si>
  <si>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</si>
  <si>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</si>
  <si>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</si>
  <si>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</si>
  <si>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</si>
  <si>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</si>
  <si>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</si>
  <si>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</si>
  <si>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</si>
  <si>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</si>
  <si>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</si>
  <si>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</si>
  <si>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</si>
  <si>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</si>
  <si>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</si>
  <si>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</si>
  <si>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</si>
  <si>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</si>
  <si>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</si>
  <si>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</si>
  <si>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</si>
  <si>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</si>
  <si>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</si>
  <si>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</si>
  <si>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</si>
  <si>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</si>
  <si>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</si>
  <si>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</si>
  <si>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</si>
  <si>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</si>
  <si>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</si>
  <si>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</si>
  <si>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</si>
  <si>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</si>
  <si>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</si>
  <si>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</si>
  <si>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</si>
  <si>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</si>
  <si>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</si>
  <si>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</si>
  <si>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</si>
  <si>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</si>
  <si>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</si>
  <si>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</si>
  <si>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</si>
  <si>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</si>
  <si>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</si>
  <si>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</si>
  <si>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</si>
  <si>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</si>
  <si>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</si>
  <si>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</si>
  <si>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</si>
  <si>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</si>
  <si>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</si>
  <si>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</si>
  <si>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</si>
  <si>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</si>
  <si>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</si>
  <si>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</si>
  <si>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</si>
  <si>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</si>
  <si>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</si>
  <si>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</si>
  <si>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</si>
  <si>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</si>
  <si>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</si>
  <si>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</si>
  <si>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</si>
  <si>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</si>
  <si>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</si>
  <si>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</si>
  <si>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</si>
  <si>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</si>
  <si>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</si>
  <si>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</si>
  <si>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</si>
  <si>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</si>
  <si>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</si>
  <si>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</si>
  <si>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</si>
  <si>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</si>
  <si>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</si>
  <si>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</si>
  <si>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</si>
  <si>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</si>
  <si>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</si>
  <si>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</si>
  <si>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</si>
  <si>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</si>
  <si>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</si>
  <si>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</si>
  <si>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</si>
  <si>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</si>
  <si>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</si>
  <si>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</si>
  <si>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</si>
  <si>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</si>
  <si>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</si>
  <si>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</si>
  <si>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</si>
  <si>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</si>
  <si>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</si>
  <si>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</si>
  <si>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</si>
  <si>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</si>
  <si>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</si>
  <si>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</si>
  <si>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</si>
  <si>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</si>
  <si>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</si>
  <si>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</si>
  <si>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</si>
  <si>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</si>
  <si>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</si>
  <si>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</si>
  <si>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</si>
  <si>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</si>
  <si>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</si>
  <si>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</si>
  <si>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</si>
  <si>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</si>
  <si>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</si>
  <si>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</si>
  <si>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</si>
  <si>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</si>
  <si>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</si>
  <si>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</si>
  <si>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</si>
  <si>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</si>
  <si>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</si>
  <si>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</si>
  <si>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</si>
  <si>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</si>
  <si>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</si>
  <si>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</si>
  <si>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</si>
  <si>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</si>
  <si>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</si>
  <si>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</si>
  <si>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</si>
  <si>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</si>
  <si>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</si>
  <si>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</si>
  <si>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</si>
  <si>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</si>
  <si>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</si>
  <si>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</si>
  <si>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</si>
  <si>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</si>
  <si>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</si>
  <si>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</si>
  <si>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</si>
  <si>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</si>
  <si>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</si>
  <si>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</si>
  <si>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</si>
  <si>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</si>
  <si>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</si>
  <si>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</si>
  <si>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</si>
  <si>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</si>
  <si>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</si>
  <si>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</si>
  <si>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</si>
  <si>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</si>
  <si>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</si>
  <si>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</si>
  <si>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</si>
  <si>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</si>
  <si>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</si>
  <si>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</si>
  <si>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</si>
  <si>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</si>
  <si>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</si>
  <si>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</si>
  <si>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</si>
  <si>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</si>
  <si>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</si>
  <si>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</si>
  <si>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</si>
  <si>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</si>
  <si>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</si>
  <si>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</si>
  <si>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</si>
  <si>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</si>
  <si>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</si>
  <si>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</si>
  <si>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</si>
  <si>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</si>
  <si>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</si>
  <si>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</si>
  <si>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</si>
  <si>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</si>
  <si>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</si>
  <si>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</si>
  <si>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</si>
  <si>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</si>
  <si>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</si>
  <si>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</si>
  <si>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</si>
  <si>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</si>
  <si>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</si>
  <si>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</si>
  <si>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</si>
  <si>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</si>
  <si>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</si>
  <si>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</si>
  <si>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</si>
  <si>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</si>
  <si>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</si>
  <si>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</si>
  <si>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</si>
  <si>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</si>
  <si>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</si>
  <si>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</si>
  <si>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</si>
  <si>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</si>
  <si>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</si>
  <si>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</si>
  <si>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</si>
  <si>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</si>
  <si>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</si>
  <si>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</si>
  <si>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</si>
  <si>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</si>
  <si>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</si>
  <si>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</si>
  <si>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</si>
  <si>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</si>
  <si>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</si>
  <si>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</si>
  <si>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</si>
  <si>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</si>
  <si>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</si>
  <si>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</si>
  <si>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</si>
  <si>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</si>
  <si>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</si>
  <si>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</si>
  <si>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</si>
  <si>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</si>
  <si>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</si>
  <si>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</si>
  <si>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</si>
  <si>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</si>
  <si>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</si>
  <si>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</si>
  <si>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</si>
  <si>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</si>
  <si>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</si>
  <si>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</si>
  <si>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</si>
  <si>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</si>
  <si>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</si>
  <si>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</si>
  <si>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</si>
  <si>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</si>
  <si>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</si>
  <si>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</si>
  <si>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</si>
  <si>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</si>
  <si>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</si>
  <si>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</si>
  <si>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</si>
  <si>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</si>
  <si>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</si>
  <si>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</si>
  <si>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</si>
  <si>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</si>
  <si>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</si>
  <si>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</si>
  <si>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</si>
  <si>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</si>
  <si>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</si>
  <si>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</si>
  <si>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</si>
  <si>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</si>
  <si>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</si>
  <si>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</si>
  <si>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</si>
  <si>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</si>
  <si>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</si>
  <si>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</si>
  <si>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</si>
  <si>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</si>
  <si>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</si>
  <si>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</si>
  <si>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</si>
  <si>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</si>
  <si>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</si>
  <si>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</si>
  <si>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</si>
  <si>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</si>
  <si>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</si>
  <si>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</si>
  <si>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</si>
  <si>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</si>
  <si>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</si>
  <si>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</si>
  <si>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</si>
  <si>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</si>
  <si>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</si>
  <si>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</si>
  <si>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</si>
  <si>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</si>
  <si>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</si>
  <si>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</si>
  <si>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</si>
  <si>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</si>
  <si>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</si>
  <si>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</si>
  <si>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</si>
  <si>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</si>
  <si>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</si>
  <si>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</si>
  <si>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</si>
  <si>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</si>
  <si>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</si>
  <si>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</si>
  <si>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</si>
  <si>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</si>
  <si>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</si>
  <si>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</si>
  <si>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</si>
  <si>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</si>
  <si>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</si>
  <si>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</si>
  <si>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</si>
  <si>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</si>
  <si>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</si>
  <si>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</si>
  <si>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</si>
  <si>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</si>
  <si>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</si>
  <si>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</si>
  <si>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</si>
  <si>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</si>
  <si>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</si>
  <si>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</si>
  <si>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</si>
  <si>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</si>
  <si>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</si>
  <si>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</si>
  <si>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</si>
  <si>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</si>
  <si>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</si>
  <si>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</si>
  <si>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</si>
  <si>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</si>
  <si>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</si>
  <si>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</si>
  <si>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</si>
  <si>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</si>
  <si>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</si>
  <si>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</si>
  <si>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</si>
  <si>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</si>
  <si>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</si>
  <si>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</si>
  <si>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</si>
  <si>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</si>
  <si>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</si>
  <si>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</si>
  <si>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</si>
  <si>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</si>
  <si>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</si>
  <si>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</si>
  <si>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</si>
  <si>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</si>
  <si>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</si>
  <si>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</si>
  <si>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</si>
  <si>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</si>
  <si>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</si>
  <si>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</si>
  <si>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</si>
  <si>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</si>
  <si>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</si>
  <si>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</si>
  <si>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</si>
  <si>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</si>
  <si>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</si>
  <si>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</si>
  <si>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</si>
  <si>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</si>
  <si>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</si>
  <si>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</si>
  <si>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</si>
  <si>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</si>
  <si>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</si>
  <si>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</si>
  <si>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</si>
  <si>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</si>
  <si>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</si>
  <si>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</si>
  <si>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</si>
  <si>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</si>
  <si>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</si>
  <si>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</si>
  <si>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</si>
  <si>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</si>
  <si>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</si>
  <si>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</si>
  <si>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</si>
  <si>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</si>
  <si>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</si>
  <si>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</si>
  <si>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</si>
  <si>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</si>
  <si>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</si>
  <si>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</si>
  <si>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</si>
  <si>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</si>
  <si>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</si>
  <si>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</si>
  <si>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</si>
  <si>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</si>
  <si>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</si>
  <si>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</si>
  <si>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</si>
  <si>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</si>
  <si>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</si>
  <si>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</si>
  <si>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</si>
  <si>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</si>
  <si>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</si>
  <si>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</si>
  <si>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</si>
  <si>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</si>
  <si>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</si>
  <si>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</si>
  <si>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</si>
  <si>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</si>
  <si>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</si>
  <si>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</si>
  <si>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</si>
  <si>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</si>
  <si>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</si>
  <si>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</si>
  <si>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</si>
  <si>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</si>
  <si>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</si>
  <si>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</si>
  <si>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</si>
  <si>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</si>
  <si>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</si>
  <si>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</si>
  <si>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</si>
  <si>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</si>
  <si>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</si>
  <si>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</si>
  <si>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</si>
  <si>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</si>
  <si>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</si>
  <si>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</si>
  <si>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</si>
  <si>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</si>
  <si>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</si>
  <si>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</si>
  <si>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</si>
  <si>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</si>
  <si>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</si>
  <si>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</si>
  <si>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</si>
  <si>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</si>
  <si>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</si>
  <si>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</si>
  <si>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</si>
  <si>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</si>
  <si>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</si>
  <si>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</si>
  <si>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</si>
  <si>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</si>
  <si>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</si>
  <si>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</si>
  <si>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</si>
  <si>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</si>
  <si>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</si>
  <si>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</si>
  <si>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</si>
  <si>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</si>
  <si>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</si>
  <si>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</si>
  <si>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</si>
  <si>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</si>
  <si>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</si>
  <si>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</si>
  <si>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</si>
  <si>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</si>
  <si>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</si>
  <si>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</si>
  <si>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</si>
  <si>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</si>
  <si>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</si>
  <si>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</si>
  <si>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</si>
  <si>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</si>
  <si>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</si>
  <si>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</si>
  <si>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</si>
  <si>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</si>
  <si>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</si>
  <si>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</si>
  <si>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</si>
  <si>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</si>
  <si>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</si>
  <si>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</si>
  <si>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</si>
  <si>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</si>
  <si>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</si>
  <si>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</si>
  <si>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</si>
  <si>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</si>
  <si>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</si>
  <si>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</si>
  <si>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</si>
  <si>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</si>
  <si>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</si>
  <si>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</si>
  <si>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</si>
  <si>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</si>
  <si>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</si>
  <si>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</si>
  <si>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</si>
  <si>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</si>
  <si>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</si>
  <si>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</si>
  <si>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</si>
  <si>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</si>
  <si>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</si>
  <si>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</si>
  <si>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</si>
  <si>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</si>
  <si>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</si>
  <si>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</si>
  <si>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</si>
  <si>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</si>
  <si>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</si>
  <si>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</si>
  <si>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</si>
  <si>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</si>
  <si>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</si>
  <si>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</si>
  <si>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</si>
  <si>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</si>
  <si>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</si>
  <si>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</si>
  <si>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</si>
  <si>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</si>
  <si>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</si>
  <si>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</si>
  <si>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</si>
  <si>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</si>
  <si>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</si>
  <si>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</si>
  <si>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</si>
  <si>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</si>
  <si>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</si>
  <si>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</si>
  <si>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</si>
  <si>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</si>
  <si>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</si>
  <si>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</si>
  <si>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</si>
  <si>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</si>
  <si>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</si>
  <si>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</si>
  <si>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</si>
  <si>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</si>
  <si>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</si>
  <si>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</si>
  <si>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</si>
  <si>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</si>
  <si>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</si>
  <si>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</si>
  <si>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</si>
  <si>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</si>
  <si>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</si>
  <si>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</si>
  <si>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</si>
  <si>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</si>
  <si>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</si>
  <si>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</si>
  <si>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</si>
  <si>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</si>
  <si>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</si>
  <si>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</si>
  <si>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</si>
  <si>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</si>
  <si>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</si>
  <si>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</si>
  <si>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</si>
  <si>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</si>
  <si>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</si>
  <si>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</si>
  <si>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</si>
  <si>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</si>
  <si>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</si>
  <si>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</si>
  <si>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</si>
  <si>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</si>
  <si>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</si>
  <si>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</si>
  <si>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</si>
  <si>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</si>
  <si>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</si>
  <si>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</si>
  <si>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</si>
  <si>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</si>
  <si>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</si>
  <si>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</si>
  <si>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</si>
  <si>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</si>
  <si>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</si>
  <si>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</si>
  <si>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</si>
  <si>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</si>
  <si>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</si>
  <si>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</si>
  <si>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</si>
  <si>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</si>
  <si>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</si>
  <si>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</si>
  <si>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</si>
  <si>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</si>
  <si>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</si>
  <si>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</si>
  <si>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</si>
  <si>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</si>
  <si>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</si>
  <si>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</si>
  <si>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</si>
  <si>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</si>
  <si>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</si>
  <si>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</si>
  <si>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</si>
  <si>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</si>
  <si>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</si>
  <si>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</si>
  <si>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</si>
  <si>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</si>
  <si>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</si>
  <si>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</si>
  <si>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</si>
  <si>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</si>
  <si>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</si>
  <si>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</si>
  <si>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</si>
  <si>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</si>
  <si>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</si>
  <si>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</si>
  <si>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</si>
  <si>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</si>
  <si>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</si>
  <si>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</si>
  <si>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</si>
  <si>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</si>
  <si>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</si>
  <si>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</si>
  <si>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</si>
  <si>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</si>
  <si>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</si>
  <si>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</si>
  <si>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</si>
  <si>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</si>
  <si>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</si>
  <si>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</si>
  <si>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</si>
  <si>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</si>
  <si>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</si>
  <si>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</si>
  <si>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</si>
  <si>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</si>
  <si>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</si>
  <si>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</si>
  <si>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</si>
  <si>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</si>
  <si>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</si>
  <si>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</si>
  <si>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</si>
  <si>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</si>
  <si>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</si>
  <si>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</si>
  <si>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</si>
  <si>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</si>
  <si>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</si>
  <si>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</si>
  <si>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</si>
  <si>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</si>
  <si>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</si>
  <si>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</si>
  <si>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</si>
  <si>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</si>
  <si>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</si>
  <si>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</si>
  <si>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</si>
  <si>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</si>
  <si>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</si>
  <si>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</si>
  <si>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</si>
  <si>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</si>
  <si>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</si>
  <si>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</si>
  <si>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</si>
  <si>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</si>
  <si>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</si>
  <si>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</si>
  <si>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</si>
  <si>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</si>
  <si>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</si>
  <si>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</si>
  <si>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</si>
  <si>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</si>
  <si>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</si>
  <si>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</si>
  <si>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</si>
  <si>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</si>
  <si>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</si>
  <si>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</si>
  <si>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</si>
  <si>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</si>
  <si>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</si>
  <si>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</si>
  <si>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</si>
  <si>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</si>
  <si>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</si>
  <si>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</si>
  <si>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</si>
  <si>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</si>
  <si>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</si>
  <si>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</si>
  <si>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</si>
  <si>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</si>
  <si>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</si>
  <si>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</si>
  <si>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</si>
  <si>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</si>
  <si>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</si>
  <si>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</si>
  <si>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</si>
  <si>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</si>
  <si>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</si>
  <si>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</si>
  <si>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</si>
  <si>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</si>
  <si>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</si>
  <si>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</si>
  <si>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</si>
  <si>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</si>
  <si>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</si>
  <si>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</si>
  <si>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</si>
  <si>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</si>
  <si>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</si>
  <si>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</si>
  <si>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</si>
  <si>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</si>
  <si>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</si>
  <si>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</si>
  <si>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</si>
  <si>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</si>
  <si>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</si>
  <si>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</si>
  <si>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</si>
  <si>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</si>
  <si>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</si>
  <si>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</si>
  <si>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</si>
  <si>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</si>
  <si>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</si>
  <si>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</si>
  <si>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</si>
  <si>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</si>
  <si>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</si>
  <si>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</si>
  <si>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</si>
  <si>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</si>
  <si>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</si>
  <si>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</si>
  <si>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</si>
  <si>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</si>
  <si>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</si>
  <si>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</si>
  <si>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</si>
  <si>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</si>
  <si>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</si>
  <si>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</si>
  <si>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</si>
  <si>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</si>
  <si>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</si>
  <si>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</si>
  <si>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</si>
  <si>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</si>
  <si>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</si>
  <si>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</si>
  <si>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</si>
  <si>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</si>
  <si>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</si>
  <si>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</si>
  <si>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</si>
  <si>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</si>
  <si>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</si>
  <si>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</si>
  <si>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</si>
  <si>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</si>
  <si>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</si>
  <si>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</si>
  <si>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</si>
  <si>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</si>
  <si>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</si>
  <si>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</si>
  <si>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</si>
  <si>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</si>
  <si>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</si>
  <si>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</si>
  <si>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</si>
  <si>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</si>
  <si>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</si>
  <si>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</si>
  <si>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</si>
  <si>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</si>
  <si>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</si>
  <si>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</si>
  <si>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</si>
  <si>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</si>
  <si>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</si>
  <si>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</si>
  <si>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</si>
  <si>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</si>
  <si>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</si>
  <si>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</si>
  <si>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</si>
  <si>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</si>
  <si>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</si>
  <si>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</si>
  <si>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</si>
  <si>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</si>
  <si>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</si>
  <si>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</si>
  <si>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</si>
  <si>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</si>
  <si>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</si>
  <si>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</si>
  <si>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</si>
  <si>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</si>
  <si>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</si>
  <si>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</si>
  <si>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</si>
  <si>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</si>
  <si>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</si>
  <si>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</si>
  <si>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</si>
  <si>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</si>
  <si>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</si>
  <si>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</si>
  <si>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</si>
  <si>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</si>
  <si>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</si>
  <si>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</si>
  <si>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</si>
  <si>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</si>
  <si>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</si>
  <si>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</si>
  <si>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</si>
  <si>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</si>
  <si>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</si>
  <si>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</si>
  <si>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</si>
  <si>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</si>
  <si>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</si>
  <si>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</si>
  <si>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</si>
  <si>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</si>
  <si>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</si>
  <si>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</si>
  <si>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</si>
  <si>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</si>
  <si>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</si>
  <si>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</si>
  <si>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</si>
  <si>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</si>
  <si>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</si>
  <si>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</si>
  <si>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</si>
  <si>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</si>
  <si>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</si>
  <si>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</si>
  <si>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</si>
  <si>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</si>
  <si>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</si>
  <si>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</si>
  <si>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</si>
  <si>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</si>
  <si>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</si>
  <si>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</si>
  <si>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</si>
  <si>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</si>
  <si>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</si>
  <si>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</si>
  <si>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</si>
  <si>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</si>
  <si>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</si>
  <si>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</si>
  <si>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</si>
  <si>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</si>
  <si>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</si>
  <si>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</si>
  <si>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</si>
  <si>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</si>
  <si>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</si>
  <si>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</si>
  <si>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</si>
  <si>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</si>
  <si>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</si>
  <si>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</si>
  <si>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</si>
  <si>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</si>
  <si>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</si>
  <si>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</si>
  <si>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</si>
  <si>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</si>
  <si>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</si>
  <si>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</si>
  <si>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</si>
  <si>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</si>
  <si>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</si>
  <si>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</si>
  <si>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</si>
  <si>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</si>
  <si>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</si>
  <si>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</si>
  <si>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</si>
  <si>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</si>
  <si>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</si>
  <si>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</si>
  <si>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</si>
  <si>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</si>
  <si>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</si>
  <si>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</si>
  <si>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</si>
  <si>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</si>
  <si>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</si>
  <si>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</si>
  <si>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</si>
  <si>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</si>
  <si>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</si>
  <si>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</si>
  <si>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</si>
  <si>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</si>
  <si>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</si>
  <si>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</si>
  <si>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</si>
  <si>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</si>
  <si>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</si>
  <si>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</si>
  <si>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</si>
  <si>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</si>
  <si>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</si>
  <si>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</si>
  <si>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</si>
  <si>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</si>
  <si>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</si>
  <si>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</si>
  <si>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</si>
  <si>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</si>
  <si>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</si>
  <si>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</si>
  <si>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</si>
  <si>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</si>
  <si>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</si>
  <si>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</si>
  <si>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</si>
  <si>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</si>
  <si>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</si>
  <si>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</si>
  <si>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</si>
  <si>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</si>
  <si>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</si>
  <si>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</si>
  <si>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</si>
  <si>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</si>
  <si>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</si>
  <si>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</si>
  <si>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</si>
  <si>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</si>
  <si>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</si>
  <si>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</si>
  <si>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</si>
  <si>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</si>
  <si>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</si>
  <si>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</si>
  <si>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</si>
  <si>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</si>
  <si>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</si>
  <si>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</si>
  <si>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</si>
  <si>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</si>
  <si>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</si>
  <si>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</si>
  <si>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</si>
  <si>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</si>
  <si>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</si>
  <si>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</si>
  <si>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</si>
  <si>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</si>
  <si>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</si>
  <si>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</si>
  <si>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</si>
  <si>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</si>
  <si>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</si>
  <si>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</si>
  <si>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</si>
  <si>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</si>
  <si>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</si>
  <si>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</si>
  <si>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</si>
  <si>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</si>
  <si>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</si>
  <si>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</si>
  <si>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</si>
  <si>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</si>
  <si>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</si>
  <si>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</si>
  <si>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</si>
  <si>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</si>
  <si>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</si>
  <si>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</si>
  <si>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</si>
  <si>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</si>
  <si>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</si>
  <si>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</si>
  <si>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</si>
  <si>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</si>
  <si>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</si>
  <si>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</si>
  <si>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</si>
  <si>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</si>
  <si>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</si>
  <si>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</si>
  <si>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</si>
  <si>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</si>
  <si>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</si>
  <si>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</si>
  <si>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</si>
  <si>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</si>
  <si>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</si>
  <si>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</si>
  <si>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</si>
  <si>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</si>
  <si>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</si>
  <si>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</si>
  <si>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</si>
  <si>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</si>
  <si>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</si>
  <si>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</si>
  <si>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</si>
  <si>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</si>
  <si>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</si>
  <si>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</si>
  <si>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</si>
  <si>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</si>
  <si>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</si>
  <si>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</si>
  <si>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</si>
  <si>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</si>
  <si>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</si>
  <si>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</si>
  <si>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</si>
  <si>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</si>
  <si>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</si>
  <si>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</si>
  <si>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</si>
  <si>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</si>
  <si>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</si>
  <si>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</si>
  <si>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</si>
  <si>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</si>
  <si>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</si>
  <si>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</si>
  <si>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</si>
  <si>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</si>
  <si>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</si>
  <si>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</si>
  <si>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</si>
  <si>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</si>
  <si>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</si>
  <si>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</si>
  <si>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</si>
  <si>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</si>
  <si>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</si>
  <si>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</si>
  <si>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</si>
  <si>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</si>
  <si>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</si>
  <si>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</si>
  <si>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</si>
  <si>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</si>
  <si>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</si>
  <si>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</si>
  <si>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</si>
  <si>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</si>
  <si>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</si>
  <si>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</si>
  <si>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</si>
  <si>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</si>
  <si>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</si>
  <si>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</si>
  <si>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</si>
  <si>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</si>
  <si>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</si>
  <si>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</si>
  <si>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</si>
  <si>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</si>
  <si>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</si>
  <si>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</si>
  <si>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</si>
  <si>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</si>
  <si>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</si>
  <si>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</si>
  <si>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</si>
  <si>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</si>
  <si>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</si>
  <si>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</si>
  <si>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</si>
  <si>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</si>
  <si>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</si>
  <si>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</si>
  <si>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</si>
  <si>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</si>
  <si>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</si>
  <si>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</si>
  <si>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</si>
  <si>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</si>
  <si>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</si>
  <si>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</si>
  <si>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</si>
  <si>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</si>
  <si>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</si>
  <si>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</si>
  <si>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</si>
  <si>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</si>
  <si>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</si>
  <si>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</si>
  <si>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</si>
  <si>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</si>
  <si>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</si>
  <si>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</si>
  <si>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</si>
  <si>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</si>
  <si>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</si>
  <si>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</si>
  <si>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</si>
  <si>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</si>
  <si>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</si>
  <si>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</si>
  <si>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</si>
  <si>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</si>
  <si>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</si>
  <si>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</si>
  <si>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</si>
  <si>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</si>
  <si>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</si>
  <si>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</si>
  <si>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</si>
  <si>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</si>
  <si>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</si>
  <si>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</si>
  <si>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</si>
  <si>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</si>
  <si>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</si>
  <si>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</si>
  <si>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</si>
  <si>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</si>
  <si>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</si>
  <si>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</si>
  <si>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</si>
  <si>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</si>
  <si>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</si>
  <si>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</si>
  <si>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</si>
  <si>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</si>
  <si>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</si>
  <si>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</si>
  <si>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</si>
  <si>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</si>
  <si>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</si>
  <si>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</si>
  <si>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</si>
  <si>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</si>
  <si>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</si>
  <si>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</si>
  <si>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</si>
  <si>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</si>
  <si>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</si>
  <si>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</si>
  <si>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</si>
  <si>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</si>
  <si>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</si>
  <si>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</si>
  <si>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</si>
  <si>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</si>
  <si>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</si>
  <si>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</si>
  <si>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</si>
  <si>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</si>
  <si>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</si>
  <si>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</si>
  <si>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</si>
  <si>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</si>
  <si>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</si>
  <si>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</si>
  <si>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</si>
  <si>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</si>
  <si>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</si>
  <si>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</si>
  <si>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</si>
  <si>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</si>
  <si>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</si>
  <si>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</si>
  <si>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</si>
  <si>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</si>
  <si>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</si>
  <si>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</si>
  <si>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</si>
  <si>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</si>
  <si>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</si>
  <si>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</si>
  <si>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</si>
  <si>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</si>
  <si>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</si>
  <si>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</si>
  <si>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</si>
  <si>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</si>
  <si>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</si>
  <si>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</si>
  <si>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</si>
  <si>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</si>
  <si>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</si>
  <si>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</si>
  <si>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</si>
  <si>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</si>
  <si>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</si>
  <si>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</si>
  <si>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</si>
  <si>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</si>
  <si>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</si>
  <si>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</si>
  <si>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</si>
  <si>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</si>
  <si>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</si>
  <si>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</si>
  <si>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</si>
  <si>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</si>
  <si>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</si>
  <si>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</si>
  <si>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</si>
  <si>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</si>
  <si>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</si>
  <si>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</si>
  <si>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</si>
  <si>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</si>
  <si>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</si>
  <si>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</si>
  <si>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</si>
  <si>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</si>
  <si>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</si>
  <si>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</si>
  <si>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</si>
  <si>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</si>
  <si>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</si>
  <si>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</si>
  <si>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</si>
  <si>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</si>
  <si>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</si>
  <si>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</si>
  <si>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</si>
  <si>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</si>
  <si>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</si>
  <si>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</si>
  <si>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</si>
  <si>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</si>
  <si>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</si>
  <si>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</si>
  <si>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</si>
  <si>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</si>
  <si>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</si>
  <si>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</si>
  <si>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</si>
  <si>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</si>
  <si>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</si>
  <si>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</si>
  <si>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</si>
  <si>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</si>
  <si>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</si>
  <si>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</si>
  <si>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</si>
  <si>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</si>
  <si>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</si>
  <si>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</si>
  <si>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</si>
  <si>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</si>
  <si>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</si>
  <si>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</si>
  <si>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</si>
  <si>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</si>
  <si>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</si>
  <si>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</si>
  <si>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</si>
  <si>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</si>
  <si>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</si>
  <si>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</si>
  <si>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</si>
  <si>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</si>
  <si>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</si>
  <si>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</si>
  <si>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</si>
  <si>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</si>
  <si>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</si>
  <si>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</si>
  <si>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</si>
  <si>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</si>
  <si>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</si>
  <si>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</si>
  <si>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</si>
  <si>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</si>
  <si>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</si>
  <si>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</si>
  <si>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</si>
  <si>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</si>
  <si>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</si>
  <si>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</si>
  <si>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</si>
  <si>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</si>
  <si>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</si>
  <si>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</si>
  <si>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</si>
  <si>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</si>
  <si>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</si>
  <si>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</si>
  <si>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</si>
  <si>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</si>
  <si>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</si>
  <si>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</si>
  <si>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</si>
  <si>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</si>
  <si>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</si>
  <si>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</si>
  <si>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</si>
  <si>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</si>
  <si>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</si>
  <si>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</si>
  <si>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</si>
  <si>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</si>
  <si>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</si>
  <si>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</si>
  <si>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</si>
  <si>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</si>
  <si>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</si>
  <si>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</si>
  <si>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</si>
  <si>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</si>
  <si>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</si>
  <si>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</si>
  <si>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</si>
  <si>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</si>
  <si>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</si>
  <si>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</si>
  <si>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</si>
  <si>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</si>
  <si>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</si>
  <si>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</si>
  <si>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</si>
  <si>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</si>
  <si>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</si>
  <si>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</si>
  <si>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</si>
  <si>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</si>
  <si>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</si>
  <si>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</si>
  <si>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</si>
  <si>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</si>
  <si>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</si>
  <si>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</si>
  <si>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</si>
  <si>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</si>
  <si>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</si>
  <si>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</si>
  <si>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</si>
  <si>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</si>
  <si>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</si>
  <si>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</si>
  <si>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</si>
  <si>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</si>
  <si>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</si>
  <si>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</si>
  <si>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</si>
  <si>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</si>
  <si>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</si>
  <si>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</si>
  <si>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</si>
  <si>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</si>
  <si>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</si>
  <si>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</si>
  <si>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</si>
  <si>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</si>
  <si>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</si>
  <si>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</si>
  <si>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</si>
  <si>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</si>
  <si>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</si>
  <si>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</si>
  <si>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</si>
  <si>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</si>
  <si>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</si>
  <si>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</si>
  <si>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</si>
  <si>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</si>
  <si>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</si>
  <si>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</si>
  <si>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</si>
  <si>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</si>
  <si>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</si>
  <si>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</si>
  <si>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</si>
  <si>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</si>
  <si>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</si>
  <si>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</si>
  <si>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</si>
  <si>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</si>
  <si>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</si>
  <si>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</si>
  <si>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</si>
  <si>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</si>
  <si>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</si>
  <si>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</si>
  <si>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</si>
  <si>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</si>
  <si>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</si>
  <si>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</si>
  <si>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</si>
  <si>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</si>
  <si>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</si>
  <si>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</si>
  <si>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</si>
  <si>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</si>
  <si>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</si>
  <si>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</si>
  <si>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</si>
  <si>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</si>
  <si>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</si>
  <si>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</si>
  <si>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</si>
  <si>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</si>
  <si>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</si>
  <si>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</si>
  <si>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</si>
  <si>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</si>
  <si>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</si>
  <si>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</si>
  <si>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</si>
  <si>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</si>
  <si>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</si>
  <si>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</si>
  <si>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</si>
  <si>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</si>
  <si>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</si>
  <si>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</si>
  <si>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</si>
  <si>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</si>
  <si>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</si>
  <si>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</si>
  <si>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</si>
  <si>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</si>
  <si>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</si>
  <si>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</si>
  <si>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</si>
  <si>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</si>
  <si>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</si>
  <si>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</si>
  <si>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</si>
  <si>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</si>
  <si>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</si>
  <si>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</si>
  <si>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</si>
  <si>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</si>
  <si>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</si>
  <si>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</si>
  <si>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</si>
  <si>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</si>
  <si>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</si>
  <si>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</si>
  <si>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</si>
  <si>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</si>
  <si>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</si>
  <si>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</si>
  <si>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</si>
  <si>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</si>
  <si>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</si>
  <si>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</si>
  <si>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</si>
  <si>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</si>
  <si>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</si>
  <si>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</si>
  <si>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</si>
  <si>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</si>
  <si>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</si>
  <si>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</si>
  <si>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</si>
  <si>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</si>
  <si>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</si>
  <si>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</si>
  <si>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</si>
  <si>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</si>
  <si>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</si>
  <si>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</si>
  <si>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</si>
  <si>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</si>
  <si>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</si>
  <si>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</si>
  <si>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</si>
  <si>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</si>
  <si>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</si>
  <si>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</si>
  <si>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</si>
  <si>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</si>
  <si>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</si>
  <si>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</si>
  <si>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</si>
  <si>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</si>
  <si>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</si>
  <si>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</si>
  <si>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</si>
  <si>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</si>
  <si>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</si>
  <si>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</si>
  <si>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</si>
  <si>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</si>
  <si>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</si>
  <si>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</si>
  <si>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</si>
  <si>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</si>
  <si>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</si>
  <si>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</si>
  <si>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</si>
  <si>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</si>
  <si>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</si>
  <si>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</si>
  <si>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</si>
  <si>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</si>
  <si>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</si>
  <si>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</si>
  <si>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</si>
  <si>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</si>
  <si>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</si>
  <si>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</si>
  <si>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</si>
  <si>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</si>
  <si>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</si>
  <si>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</si>
  <si>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</si>
  <si>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</si>
  <si>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</si>
  <si>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</si>
  <si>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</si>
  <si>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</si>
  <si>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</si>
  <si>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</si>
  <si>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</si>
  <si>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</si>
  <si>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</si>
  <si>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</si>
  <si>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</si>
  <si>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</si>
  <si>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</si>
  <si>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</si>
  <si>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</si>
  <si>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</si>
  <si>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</si>
  <si>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</si>
  <si>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</si>
  <si>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</si>
  <si>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</si>
  <si>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</si>
  <si>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</si>
  <si>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</si>
  <si>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</si>
  <si>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</si>
  <si>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</si>
  <si>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</si>
  <si>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</si>
  <si>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</si>
  <si>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</si>
  <si>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</si>
  <si>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</si>
  <si>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</si>
  <si>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</si>
  <si>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</si>
  <si>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</si>
  <si>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</si>
  <si>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</si>
  <si>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</si>
  <si>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</si>
  <si>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</si>
  <si>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</si>
  <si>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</si>
  <si>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</si>
  <si>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</si>
  <si>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</si>
  <si>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</si>
  <si>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</si>
  <si>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</si>
  <si>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</si>
  <si>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</si>
  <si>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</si>
  <si>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</si>
  <si>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</si>
  <si>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</si>
  <si>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</si>
  <si>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</si>
  <si>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</si>
  <si>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</si>
  <si>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</si>
  <si>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</si>
  <si>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</si>
  <si>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</si>
  <si>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</si>
  <si>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</si>
  <si>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</si>
  <si>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</si>
  <si>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</si>
  <si>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</si>
  <si>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</si>
  <si>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</si>
  <si>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</si>
  <si>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</si>
  <si>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</si>
  <si>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</si>
  <si>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</si>
  <si>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</si>
  <si>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</si>
  <si>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</si>
  <si>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</si>
  <si>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</si>
  <si>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</si>
  <si>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</si>
  <si>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</si>
  <si>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</si>
  <si>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</si>
  <si>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</si>
  <si>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</si>
  <si>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</si>
  <si>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</si>
  <si>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</si>
  <si>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</si>
  <si>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</si>
  <si>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</si>
  <si>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</si>
  <si>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</si>
  <si>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</si>
  <si>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</si>
  <si>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</si>
  <si>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</si>
  <si>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</si>
  <si>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</si>
  <si>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</si>
  <si>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</si>
  <si>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</si>
  <si>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</si>
  <si>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</si>
  <si>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</si>
  <si>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</si>
  <si>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</si>
  <si>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</si>
  <si>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</si>
  <si>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</si>
  <si>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</si>
  <si>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</si>
  <si>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</si>
  <si>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</si>
  <si>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</si>
  <si>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</si>
  <si>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</si>
  <si>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</si>
  <si>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</si>
  <si>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</si>
  <si>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</si>
  <si>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</si>
  <si>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</si>
  <si>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</si>
  <si>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</si>
  <si>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</si>
  <si>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</si>
  <si>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</si>
  <si>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</si>
  <si>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</si>
  <si>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</si>
  <si>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</si>
  <si>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</si>
  <si>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</si>
  <si>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</si>
  <si>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</si>
  <si>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</si>
  <si>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</si>
  <si>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</si>
  <si>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</si>
  <si>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</si>
  <si>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</si>
  <si>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</si>
  <si>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</si>
  <si>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</si>
  <si>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</si>
  <si>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</si>
  <si>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</si>
  <si>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</si>
  <si>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</si>
  <si>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</si>
  <si>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</si>
  <si>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</si>
  <si>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</si>
  <si>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</si>
  <si>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</si>
  <si>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</si>
  <si>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</si>
  <si>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</si>
  <si>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</si>
  <si>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</si>
  <si>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</si>
  <si>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</si>
  <si>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</si>
  <si>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</si>
  <si>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</si>
  <si>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</si>
  <si>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</si>
  <si>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</si>
  <si>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</si>
  <si>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</si>
  <si>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</si>
  <si>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</si>
  <si>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</si>
  <si>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</si>
  <si>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</si>
  <si>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</si>
  <si>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</si>
  <si>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</si>
  <si>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</si>
  <si>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</si>
  <si>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</si>
  <si>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</si>
  <si>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</si>
  <si>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</si>
  <si>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</si>
  <si>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</si>
  <si>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</si>
  <si>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</si>
  <si>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</si>
  <si>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</si>
  <si>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</si>
  <si>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</si>
  <si>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</si>
  <si>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</si>
  <si>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</si>
  <si>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</si>
  <si>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</si>
  <si>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</si>
  <si>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</si>
  <si>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</si>
  <si>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</si>
  <si>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</si>
  <si>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</si>
  <si>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</si>
  <si>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</si>
  <si>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</si>
  <si>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</si>
  <si>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</si>
  <si>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</si>
  <si>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</si>
  <si>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</si>
  <si>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</si>
  <si>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</si>
  <si>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</si>
  <si>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</si>
  <si>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</si>
  <si>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</si>
  <si>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</si>
  <si>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</si>
  <si>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</si>
  <si>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</si>
  <si>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</si>
  <si>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</si>
  <si>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</si>
  <si>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</si>
  <si>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</si>
  <si>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</si>
  <si>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</si>
  <si>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</si>
  <si>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</si>
  <si>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</si>
  <si>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</si>
  <si>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</si>
  <si>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</si>
  <si>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</si>
  <si>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</si>
  <si>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</si>
  <si>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</si>
  <si>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</si>
  <si>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</si>
  <si>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</si>
  <si>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</si>
  <si>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</si>
  <si>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</si>
  <si>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</si>
  <si>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</si>
  <si>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</si>
  <si>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</si>
  <si>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</si>
  <si>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</si>
  <si>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</si>
  <si>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</si>
  <si>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</si>
  <si>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</si>
  <si>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</si>
  <si>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</si>
  <si>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</si>
  <si>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</si>
  <si>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</si>
  <si>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</si>
  <si>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</si>
  <si>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</si>
  <si>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</si>
  <si>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</si>
  <si>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</si>
  <si>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</si>
  <si>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</si>
  <si>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</si>
  <si>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</si>
  <si>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</si>
  <si>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</si>
  <si>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</si>
  <si>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</si>
  <si>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</si>
  <si>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</si>
  <si>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</si>
  <si>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</si>
  <si>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</si>
  <si>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</si>
  <si>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</si>
  <si>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</si>
  <si>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</si>
  <si>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</si>
  <si>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</si>
  <si>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</si>
  <si>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</si>
  <si>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</si>
  <si>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</si>
  <si>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</si>
  <si>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</si>
  <si>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</si>
  <si>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</si>
  <si>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</si>
  <si>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</si>
  <si>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</si>
  <si>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</si>
  <si>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</si>
  <si>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</si>
  <si>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</si>
  <si>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</si>
  <si>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</si>
  <si>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</si>
  <si>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</si>
  <si>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</si>
  <si>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</si>
  <si>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</si>
  <si>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</si>
  <si>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</si>
  <si>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</si>
  <si>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</si>
  <si>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</si>
  <si>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</si>
  <si>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</si>
  <si>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</si>
  <si>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</si>
  <si>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</si>
  <si>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</si>
  <si>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</si>
  <si>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</si>
  <si>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</si>
  <si>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</si>
  <si>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</si>
  <si>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</si>
  <si>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</si>
  <si>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</si>
  <si>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</si>
  <si>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</si>
  <si>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</si>
  <si>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</si>
  <si>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</si>
  <si>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</si>
  <si>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</si>
  <si>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</si>
  <si>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</si>
  <si>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</si>
  <si>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</si>
  <si>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</si>
  <si>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</si>
  <si>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</si>
  <si>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</si>
  <si>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</si>
  <si>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</si>
  <si>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</si>
  <si>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</si>
  <si>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</si>
  <si>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</si>
  <si>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</si>
  <si>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</si>
  <si>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</si>
  <si>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</si>
  <si>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</si>
  <si>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</si>
  <si>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</si>
  <si>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</si>
  <si>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</si>
  <si>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</si>
  <si>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</si>
  <si>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</si>
  <si>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</si>
  <si>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</si>
  <si>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</si>
  <si>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</si>
  <si>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</si>
  <si>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</si>
  <si>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</si>
  <si>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</si>
  <si>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</si>
  <si>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</si>
  <si>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</si>
  <si>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</si>
  <si>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</si>
  <si>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</si>
  <si>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</si>
  <si>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</si>
  <si>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</si>
  <si>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</si>
  <si>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</si>
  <si>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</si>
  <si>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</si>
  <si>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</si>
  <si>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</si>
  <si>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</si>
  <si>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</si>
  <si>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</si>
  <si>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</si>
  <si>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</si>
  <si>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</si>
  <si>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</si>
  <si>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</si>
  <si>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</si>
  <si>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</si>
  <si>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</si>
  <si>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</si>
  <si>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</si>
  <si>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</si>
  <si>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</si>
  <si>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</si>
  <si>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</si>
  <si>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</si>
  <si>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</si>
  <si>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</si>
  <si>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</si>
  <si>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</si>
  <si>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</si>
  <si>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</si>
  <si>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</si>
  <si>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</si>
  <si>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</si>
  <si>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</si>
  <si>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</si>
  <si>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</si>
  <si>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</si>
  <si>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</si>
  <si>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</si>
  <si>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</si>
  <si>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</si>
  <si>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</si>
  <si>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</si>
  <si>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</si>
  <si>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</si>
  <si>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</si>
  <si>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</si>
  <si>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</si>
  <si>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</si>
  <si>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</si>
  <si>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</si>
  <si>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</si>
  <si>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</si>
  <si>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</si>
  <si>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</si>
  <si>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</si>
  <si>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</si>
  <si>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</si>
  <si>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</si>
  <si>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</si>
  <si>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</si>
  <si>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</si>
  <si>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</si>
  <si>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</si>
  <si>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</si>
  <si>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</si>
  <si>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</si>
  <si>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</si>
  <si>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</si>
  <si>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</si>
  <si>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</si>
  <si>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</si>
  <si>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</si>
  <si>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</si>
  <si>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</si>
  <si>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</si>
  <si>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</si>
  <si>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</si>
  <si>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</si>
  <si>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</si>
  <si>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</si>
  <si>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</si>
  <si>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</si>
  <si>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</si>
  <si>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</si>
  <si>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</si>
  <si>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</si>
  <si>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</si>
  <si>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</si>
  <si>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</si>
  <si>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</si>
  <si>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</si>
  <si>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</si>
  <si>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</si>
  <si>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</si>
  <si>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</si>
  <si>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</si>
  <si>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</si>
  <si>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</si>
  <si>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</si>
  <si>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</si>
  <si>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</si>
  <si>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</si>
  <si>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</si>
  <si>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</si>
  <si>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</si>
  <si>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</si>
  <si>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</si>
  <si>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</si>
  <si>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</si>
  <si>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</si>
  <si>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</si>
  <si>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</si>
  <si>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</si>
  <si>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</si>
  <si>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</si>
  <si>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</si>
  <si>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</si>
  <si>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</si>
  <si>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</si>
  <si>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</si>
  <si>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</si>
  <si>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</si>
  <si>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</si>
  <si>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</si>
  <si>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</si>
  <si>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</si>
  <si>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</si>
  <si>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</si>
  <si>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</si>
  <si>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</si>
  <si>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</si>
  <si>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</si>
  <si>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</si>
  <si>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</si>
  <si>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</si>
  <si>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</si>
  <si>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</si>
  <si>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</si>
  <si>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</si>
  <si>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</si>
  <si>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</si>
  <si>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</si>
  <si>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</si>
  <si>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</si>
  <si>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</si>
  <si>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</si>
  <si>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</si>
  <si>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</si>
  <si>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</si>
  <si>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</si>
  <si>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</si>
  <si>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</si>
  <si>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</si>
  <si>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</si>
  <si>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</si>
  <si>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</si>
  <si>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</si>
  <si>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</si>
  <si>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</si>
  <si>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</si>
  <si>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</si>
  <si>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</si>
  <si>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</si>
  <si>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</si>
  <si>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</si>
  <si>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</si>
  <si>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</si>
  <si>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</si>
  <si>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</si>
  <si>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</si>
  <si>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</si>
  <si>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</si>
  <si>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</si>
  <si>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</si>
  <si>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</si>
  <si>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</si>
  <si>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</si>
  <si>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</si>
  <si>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</si>
  <si>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</si>
  <si>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</si>
  <si>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</si>
  <si>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</si>
  <si>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</si>
  <si>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</si>
  <si>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</si>
  <si>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</si>
  <si>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</si>
  <si>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</si>
  <si>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</si>
  <si>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</si>
  <si>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</si>
  <si>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</si>
  <si>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</si>
  <si>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</si>
  <si>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</si>
  <si>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</si>
  <si>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</si>
  <si>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</si>
  <si>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</si>
  <si>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</si>
  <si>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</si>
  <si>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</si>
  <si>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</si>
  <si>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</si>
  <si>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</si>
  <si>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</si>
  <si>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</si>
  <si>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</si>
  <si>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</si>
  <si>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</si>
  <si>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</si>
  <si>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</si>
  <si>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</si>
  <si>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</si>
  <si>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</si>
  <si>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</si>
  <si>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</si>
  <si>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</si>
  <si>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</si>
  <si>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</si>
  <si>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</si>
  <si>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</si>
  <si>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</si>
  <si>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</si>
  <si>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</si>
  <si>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</si>
  <si>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</si>
  <si>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</si>
  <si>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</si>
  <si>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</si>
  <si>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</si>
  <si>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</si>
  <si>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</si>
  <si>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</si>
  <si>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</si>
  <si>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</si>
  <si>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</si>
  <si>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</si>
  <si>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</si>
  <si>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</si>
  <si>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</si>
  <si>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</si>
  <si>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</si>
  <si>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</si>
  <si>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</si>
  <si>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</si>
  <si>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</si>
  <si>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</si>
  <si>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</si>
  <si>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</si>
  <si>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</si>
  <si>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</si>
  <si>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</si>
  <si>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</si>
  <si>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</si>
  <si>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</si>
  <si>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</si>
  <si>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</si>
  <si>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</si>
  <si>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</si>
  <si>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</si>
  <si>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</si>
  <si>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</si>
  <si>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</si>
  <si>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</si>
  <si>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</si>
  <si>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</si>
  <si>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</si>
  <si>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</si>
  <si>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</si>
  <si>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</si>
  <si>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</si>
  <si>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</si>
  <si>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</si>
  <si>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</si>
  <si>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</si>
  <si>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</si>
  <si>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</si>
  <si>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</si>
  <si>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</si>
  <si>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</si>
  <si>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</si>
  <si>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</si>
  <si>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</si>
  <si>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</si>
  <si>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</si>
  <si>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</si>
  <si>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</si>
  <si>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</si>
  <si>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</si>
  <si>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</si>
  <si>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</si>
  <si>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</si>
  <si>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</si>
  <si>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</si>
  <si>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</si>
  <si>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</si>
  <si>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</si>
  <si>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</si>
  <si>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</si>
  <si>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</si>
  <si>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</si>
  <si>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</si>
  <si>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</si>
  <si>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</si>
  <si>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</si>
  <si>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</si>
  <si>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</si>
  <si>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</si>
  <si>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</si>
  <si>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</si>
  <si>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</si>
  <si>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</si>
  <si>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</si>
  <si>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</si>
  <si>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</si>
  <si>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</si>
  <si>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</si>
  <si>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</si>
  <si>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</si>
  <si>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</si>
  <si>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</si>
  <si>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</si>
  <si>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</si>
  <si>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</si>
  <si>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</si>
  <si>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</si>
  <si>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</si>
  <si>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</si>
  <si>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</si>
  <si>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</si>
  <si>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</si>
  <si>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</si>
  <si>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</si>
  <si>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</si>
  <si>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</si>
  <si>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</si>
  <si>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</si>
  <si>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</si>
  <si>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</si>
  <si>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</si>
  <si>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</si>
  <si>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</si>
  <si>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</si>
  <si>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</si>
  <si>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</si>
  <si>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</si>
  <si>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</si>
  <si>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</si>
  <si>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</si>
  <si>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</si>
  <si>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</si>
  <si>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</si>
  <si>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</si>
  <si>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</si>
  <si>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</si>
  <si>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</si>
  <si>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</si>
  <si>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</si>
  <si>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</si>
  <si>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</si>
  <si>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</si>
  <si>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</si>
  <si>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</si>
  <si>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</si>
  <si>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</si>
  <si>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</si>
  <si>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</si>
  <si>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</si>
  <si>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</si>
  <si>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</si>
  <si>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</si>
  <si>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</si>
  <si>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</si>
  <si>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</si>
  <si>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</si>
  <si>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</si>
  <si>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</si>
  <si>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</si>
  <si>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</si>
  <si>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</si>
  <si>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</si>
  <si>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</si>
  <si>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</si>
  <si>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</si>
  <si>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</si>
  <si>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</si>
  <si>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</si>
  <si>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</si>
  <si>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</si>
  <si>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</si>
  <si>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</si>
  <si>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</si>
  <si>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</si>
  <si>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</si>
  <si>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</si>
  <si>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</si>
  <si>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</si>
  <si>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</si>
  <si>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</si>
  <si>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</si>
  <si>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</si>
  <si>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</si>
  <si>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</si>
  <si>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</si>
  <si>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</si>
  <si>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</si>
  <si>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</si>
  <si>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</si>
  <si>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</si>
  <si>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</si>
  <si>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</si>
  <si>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</si>
  <si>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</si>
  <si>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</si>
  <si>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</si>
  <si>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</si>
  <si>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</si>
  <si>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</si>
  <si>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</si>
  <si>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</si>
  <si>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</si>
  <si>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</si>
  <si>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</si>
  <si>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</si>
  <si>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</si>
  <si>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</si>
  <si>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</si>
  <si>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</si>
  <si>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</si>
  <si>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</si>
  <si>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</si>
  <si>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</si>
  <si>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</si>
  <si>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</si>
  <si>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</si>
  <si>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</si>
  <si>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</si>
  <si>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</si>
  <si>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</si>
  <si>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</si>
  <si>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</si>
  <si>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</si>
  <si>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</si>
  <si>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</si>
  <si>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</si>
  <si>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</si>
  <si>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</si>
  <si>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</si>
  <si>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</si>
  <si>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</si>
  <si>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</si>
  <si>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</si>
  <si>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</si>
  <si>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</si>
  <si>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</si>
  <si>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</si>
  <si>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</si>
  <si>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</si>
  <si>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</si>
  <si>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</si>
  <si>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</si>
  <si>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</si>
  <si>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</si>
  <si>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</si>
  <si>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</si>
  <si>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</si>
  <si>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</si>
  <si>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</si>
  <si>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</si>
  <si>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</si>
  <si>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</si>
  <si>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</si>
  <si>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</si>
  <si>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</si>
  <si>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</si>
  <si>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</si>
  <si>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</si>
  <si>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</si>
  <si>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</si>
  <si>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</si>
  <si>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</si>
  <si>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</si>
  <si>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</si>
  <si>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</si>
  <si>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</si>
  <si>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</si>
  <si>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</si>
  <si>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</si>
  <si>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</si>
  <si>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</si>
  <si>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</si>
  <si>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</si>
  <si>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</si>
  <si>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</si>
  <si>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</si>
  <si>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</si>
  <si>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</si>
  <si>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</si>
  <si>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</si>
  <si>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</si>
  <si>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</si>
  <si>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</si>
  <si>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</si>
  <si>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</si>
  <si>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</si>
  <si>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</si>
  <si>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</si>
  <si>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</si>
  <si>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</si>
  <si>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</si>
  <si>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</si>
  <si>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</si>
  <si>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</si>
  <si>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</si>
  <si>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</si>
  <si>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</si>
  <si>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</si>
  <si>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</si>
  <si>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</si>
  <si>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</si>
  <si>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</si>
  <si>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</si>
  <si>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</si>
  <si>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</si>
  <si>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</si>
  <si>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</si>
  <si>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</si>
  <si>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</si>
  <si>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</si>
  <si>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</si>
  <si>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</si>
  <si>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</si>
  <si>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</si>
  <si>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</si>
  <si>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</si>
  <si>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</si>
  <si>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</si>
  <si>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</si>
  <si>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</si>
  <si>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</si>
  <si>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</si>
  <si>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</si>
  <si>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</si>
  <si>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</si>
  <si>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</si>
  <si>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</si>
  <si>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</si>
  <si>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</si>
  <si>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</si>
  <si>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</si>
  <si>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</si>
  <si>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</si>
  <si>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</si>
  <si>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</si>
  <si>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</si>
  <si>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</si>
  <si>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</si>
  <si>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</si>
  <si>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</si>
  <si>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</si>
  <si>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</si>
  <si>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</si>
  <si>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</si>
  <si>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</si>
  <si>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</si>
  <si>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</si>
  <si>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</si>
  <si>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</si>
  <si>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</si>
  <si>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</si>
  <si>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</si>
  <si>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</si>
  <si>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</si>
  <si>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</si>
  <si>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</si>
  <si>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</si>
  <si>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</si>
  <si>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</si>
  <si>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</si>
  <si>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</si>
  <si>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</si>
  <si>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</si>
  <si>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</si>
  <si>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</si>
  <si>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</si>
  <si>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</si>
  <si>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</si>
  <si>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</si>
  <si>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</si>
  <si>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</si>
  <si>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</si>
  <si>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</si>
  <si>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</si>
  <si>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</si>
  <si>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</si>
  <si>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</si>
  <si>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</si>
  <si>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</si>
  <si>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</si>
  <si>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</si>
  <si>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</si>
  <si>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</si>
  <si>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</si>
  <si>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</si>
  <si>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</si>
  <si>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</si>
  <si>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</si>
  <si>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</si>
  <si>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</si>
  <si>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</si>
  <si>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</si>
  <si>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</si>
  <si>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</si>
  <si>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</si>
  <si>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</si>
  <si>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</si>
  <si>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</si>
  <si>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</si>
  <si>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</si>
  <si>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</si>
  <si>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</si>
  <si>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</si>
  <si>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</si>
  <si>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</si>
  <si>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</si>
  <si>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</si>
  <si>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</si>
  <si>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</si>
  <si>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</si>
  <si>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</si>
  <si>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</si>
  <si>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</si>
  <si>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</si>
  <si>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</si>
  <si>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</si>
  <si>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</si>
  <si>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</si>
  <si>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</si>
  <si>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</si>
  <si>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</si>
  <si>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</si>
  <si>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</si>
  <si>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</si>
  <si>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</si>
  <si>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</si>
  <si>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</si>
  <si>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</si>
  <si>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</si>
  <si>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</si>
  <si>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</si>
  <si>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</si>
  <si>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</si>
  <si>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</si>
  <si>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</si>
  <si>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</si>
  <si>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</si>
  <si>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</si>
  <si>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</si>
  <si>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</si>
  <si>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</si>
  <si>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</si>
  <si>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</si>
  <si>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</si>
  <si>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</si>
  <si>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</si>
  <si>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</si>
  <si>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</si>
  <si>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</si>
  <si>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</si>
  <si>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</si>
  <si>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</si>
  <si>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</si>
  <si>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</si>
  <si>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</si>
  <si>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</si>
  <si>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</si>
  <si>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</si>
  <si>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</si>
  <si>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</si>
  <si>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</si>
  <si>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</si>
  <si>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</si>
  <si>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</si>
  <si>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</si>
  <si>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</si>
  <si>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</si>
  <si>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</si>
  <si>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</si>
  <si>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</si>
  <si>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</si>
  <si>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</si>
  <si>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</si>
  <si>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</si>
  <si>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</si>
  <si>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</si>
  <si>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</si>
  <si>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</si>
  <si>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</si>
  <si>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</si>
  <si>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</si>
  <si>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</si>
  <si>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</si>
  <si>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</si>
  <si>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</si>
  <si>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</si>
  <si>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</si>
  <si>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</si>
  <si>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</si>
  <si>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</si>
  <si>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</si>
  <si>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</si>
  <si>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</si>
  <si>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</si>
  <si>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</si>
  <si>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</si>
  <si>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</si>
  <si>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</si>
  <si>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</si>
  <si>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</si>
  <si>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</si>
  <si>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</si>
  <si>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</si>
  <si>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</si>
  <si>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</si>
  <si>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</si>
  <si>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</si>
  <si>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</si>
  <si>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</si>
  <si>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</si>
  <si>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</si>
  <si>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</si>
  <si>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</si>
  <si>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</si>
  <si>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</si>
  <si>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</si>
  <si>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</si>
  <si>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</si>
  <si>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</si>
  <si>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</si>
  <si>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</si>
  <si>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</si>
  <si>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</si>
  <si>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</si>
  <si>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</si>
  <si>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</si>
  <si>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</si>
  <si>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</si>
  <si>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</si>
  <si>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</si>
  <si>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</si>
  <si>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</si>
  <si>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</si>
  <si>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</si>
  <si>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</si>
  <si>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</si>
  <si>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</si>
  <si>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</si>
  <si>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</si>
  <si>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</si>
  <si>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</si>
  <si>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</si>
  <si>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</si>
  <si>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</si>
  <si>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</si>
  <si>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</si>
  <si>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</si>
  <si>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</si>
  <si>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</si>
  <si>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</si>
  <si>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</si>
  <si>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</si>
  <si>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</si>
  <si>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</si>
  <si>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</si>
  <si>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</si>
  <si>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</si>
  <si>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</si>
  <si>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</si>
  <si>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</si>
  <si>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</si>
  <si>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</si>
  <si>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</si>
  <si>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</si>
  <si>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</si>
  <si>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</si>
  <si>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</si>
  <si>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</si>
  <si>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</si>
  <si>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</si>
  <si>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</si>
  <si>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</si>
  <si>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</si>
  <si>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</si>
  <si>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</si>
  <si>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</si>
  <si>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</si>
  <si>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</si>
  <si>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</si>
  <si>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</si>
  <si>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</si>
  <si>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</si>
  <si>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</si>
  <si>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</si>
  <si>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</si>
  <si>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</si>
  <si>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</si>
  <si>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</si>
  <si>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</si>
  <si>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</si>
  <si>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</si>
  <si>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</si>
  <si>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</si>
  <si>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</si>
  <si>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</si>
  <si>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</si>
  <si>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</si>
  <si>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</si>
  <si>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</si>
  <si>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</si>
  <si>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</si>
  <si>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</si>
  <si>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</si>
  <si>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</si>
  <si>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</si>
  <si>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</si>
  <si>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</si>
  <si>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</si>
  <si>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</si>
  <si>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</si>
  <si>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</si>
  <si>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</si>
  <si>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</si>
  <si>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</si>
  <si>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</si>
  <si>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</si>
  <si>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</si>
  <si>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</si>
  <si>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</si>
  <si>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</si>
  <si>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</si>
  <si>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</si>
  <si>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</si>
  <si>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</si>
  <si>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</si>
  <si>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</si>
  <si>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</si>
  <si>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</si>
  <si>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</si>
  <si>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</si>
  <si>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</si>
  <si>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</si>
  <si>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</si>
  <si>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</si>
  <si>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</si>
  <si>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</si>
  <si>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</si>
  <si>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</si>
  <si>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</si>
  <si>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</si>
  <si>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</si>
  <si>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</si>
  <si>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</si>
  <si>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</si>
  <si>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</si>
  <si>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</si>
  <si>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</si>
  <si>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</si>
  <si>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</si>
  <si>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</si>
  <si>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</si>
  <si>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</si>
  <si>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</si>
  <si>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</si>
  <si>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</si>
  <si>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</si>
  <si>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</si>
  <si>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</si>
  <si>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</si>
  <si>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</si>
  <si>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</si>
  <si>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</si>
  <si>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</si>
  <si>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</si>
  <si>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</si>
  <si>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</si>
  <si>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</si>
  <si>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</si>
  <si>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</si>
  <si>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</si>
  <si>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</si>
  <si>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</si>
  <si>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</si>
  <si>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</si>
  <si>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</si>
  <si>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</si>
  <si>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</si>
  <si>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</si>
  <si>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</si>
  <si>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</si>
  <si>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</si>
  <si>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</si>
  <si>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</si>
  <si>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</si>
  <si>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</si>
  <si>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</si>
  <si>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</si>
  <si>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</si>
  <si>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</si>
  <si>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</si>
  <si>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</si>
  <si>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</si>
  <si>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</si>
  <si>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</si>
  <si>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</si>
  <si>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</si>
  <si>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</si>
  <si>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</si>
  <si>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</si>
  <si>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</si>
  <si>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</si>
  <si>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</si>
  <si>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</si>
  <si>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</si>
  <si>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</si>
  <si>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</si>
  <si>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</si>
  <si>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</si>
  <si>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</si>
  <si>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</si>
  <si>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</si>
  <si>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</si>
  <si>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</si>
  <si>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</si>
  <si>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</si>
  <si>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</si>
  <si>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</si>
  <si>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</si>
  <si>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</si>
  <si>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</si>
  <si>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</si>
  <si>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</si>
  <si>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</si>
  <si>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</si>
  <si>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</si>
  <si>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</si>
  <si>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</si>
  <si>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</si>
  <si>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</si>
  <si>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</si>
  <si>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</si>
  <si>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</si>
  <si>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</si>
  <si>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</si>
  <si>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</si>
  <si>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</si>
  <si>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</si>
  <si>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</si>
  <si>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</si>
  <si>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</si>
  <si>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</si>
  <si>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</si>
  <si>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</si>
  <si>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</si>
  <si>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</si>
  <si>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</si>
  <si>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</si>
  <si>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</si>
  <si>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</si>
  <si>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</si>
  <si>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</si>
  <si>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</si>
  <si>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</si>
  <si>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</si>
  <si>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</si>
  <si>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</si>
  <si>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</si>
  <si>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</si>
  <si>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</si>
  <si>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</si>
  <si>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</si>
  <si>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</si>
  <si>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</si>
  <si>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</si>
  <si>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</si>
  <si>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</si>
  <si>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</si>
  <si>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</si>
  <si>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</si>
  <si>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</si>
  <si>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</si>
  <si>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</si>
  <si>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</si>
  <si>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</si>
  <si>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</si>
  <si>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</si>
  <si>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</si>
  <si>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</si>
  <si>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</si>
  <si>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</si>
  <si>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</si>
  <si>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</si>
  <si>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</si>
  <si>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</si>
  <si>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</si>
  <si>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</si>
  <si>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</si>
  <si>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</si>
  <si>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</si>
  <si>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</si>
  <si>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</si>
  <si>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</si>
  <si>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</si>
  <si>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</si>
  <si>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</si>
  <si>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</si>
  <si>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</si>
  <si>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</si>
  <si>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</si>
  <si>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</si>
  <si>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</si>
  <si>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</si>
  <si>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</si>
  <si>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</si>
  <si>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</si>
  <si>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</si>
  <si>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</si>
  <si>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</si>
  <si>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</si>
  <si>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</si>
  <si>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</si>
  <si>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</si>
  <si>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</si>
  <si>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</si>
  <si>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</si>
  <si>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</si>
  <si>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</si>
  <si>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</si>
  <si>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</si>
  <si>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</si>
  <si>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</si>
  <si>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</si>
  <si>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</si>
  <si>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</si>
  <si>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</si>
  <si>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</si>
  <si>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</si>
  <si>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</si>
  <si>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</si>
  <si>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</si>
  <si>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</si>
  <si>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</si>
  <si>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</si>
  <si>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</si>
  <si>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</si>
  <si>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</si>
  <si>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</si>
  <si>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</si>
  <si>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</si>
  <si>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</si>
  <si>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</si>
  <si>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</si>
  <si>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</si>
  <si>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</si>
  <si>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</si>
  <si>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</si>
  <si>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</si>
  <si>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</si>
  <si>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</si>
  <si>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</si>
  <si>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</si>
  <si>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</si>
  <si>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</si>
  <si>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</si>
  <si>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</si>
  <si>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</si>
  <si>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</si>
  <si>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</si>
  <si>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</si>
  <si>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</si>
  <si>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</si>
  <si>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</si>
  <si>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</si>
  <si>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</si>
  <si>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</si>
  <si>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</si>
  <si>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</si>
  <si>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</si>
  <si>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</si>
  <si>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</si>
  <si>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</si>
  <si>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</si>
  <si>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</si>
  <si>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</si>
  <si>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</si>
  <si>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</si>
  <si>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</si>
  <si>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</si>
  <si>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</si>
  <si>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</si>
  <si>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</si>
  <si>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</si>
  <si>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</si>
  <si>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</si>
  <si>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</si>
  <si>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</si>
  <si>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</si>
  <si>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</si>
  <si>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</si>
  <si>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</si>
  <si>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</si>
  <si>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</si>
  <si>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</si>
  <si>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</si>
  <si>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</si>
  <si>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</si>
  <si>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</si>
  <si>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</si>
  <si>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</si>
  <si>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</si>
  <si>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</si>
  <si>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</si>
  <si>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</si>
  <si>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</si>
  <si>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</si>
  <si>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</si>
  <si>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</si>
  <si>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</si>
  <si>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</si>
  <si>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</si>
  <si>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</si>
  <si>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</si>
  <si>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</si>
  <si>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</si>
  <si>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</si>
  <si>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</si>
  <si>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</si>
  <si>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</si>
  <si>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</si>
  <si>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</si>
  <si>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</si>
  <si>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</si>
  <si>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</si>
  <si>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</si>
  <si>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</si>
  <si>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</si>
  <si>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</si>
  <si>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</si>
  <si>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</si>
  <si>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</si>
  <si>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</si>
  <si>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</si>
  <si>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</si>
  <si>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</si>
  <si>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</si>
  <si>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</si>
  <si>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</si>
  <si>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</si>
  <si>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</si>
  <si>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</si>
  <si>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</si>
  <si>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</si>
  <si>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</si>
  <si>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</si>
  <si>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</si>
  <si>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</si>
  <si>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</si>
  <si>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</si>
  <si>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</si>
  <si>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</si>
  <si>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</si>
  <si>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</si>
  <si>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</si>
  <si>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</si>
  <si>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</si>
  <si>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</si>
  <si>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</si>
  <si>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</si>
  <si>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</si>
  <si>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</si>
  <si>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</si>
  <si>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</si>
  <si>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</si>
  <si>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</si>
  <si>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</si>
  <si>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</si>
  <si>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</si>
  <si>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</si>
  <si>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</si>
  <si>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</si>
  <si>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</si>
  <si>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</si>
  <si>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</si>
  <si>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</si>
  <si>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</si>
  <si>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</si>
  <si>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</si>
  <si>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</si>
  <si>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</si>
  <si>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</si>
  <si>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</si>
  <si>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</si>
  <si>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</si>
  <si>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</si>
  <si>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</si>
  <si>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</si>
  <si>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</si>
  <si>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</si>
  <si>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</si>
  <si>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</si>
  <si>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</si>
  <si>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</si>
  <si>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</si>
  <si>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</si>
  <si>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</si>
  <si>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</si>
  <si>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</si>
  <si>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</si>
  <si>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</si>
  <si>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</si>
  <si>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</si>
  <si>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</si>
  <si>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</si>
  <si>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</si>
  <si>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</si>
  <si>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</si>
  <si>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</si>
  <si>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</si>
  <si>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</si>
  <si>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</si>
  <si>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</si>
  <si>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</si>
  <si>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</si>
  <si>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</si>
  <si>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</si>
  <si>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</si>
  <si>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</si>
  <si>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</si>
  <si>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</si>
  <si>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</si>
  <si>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</si>
  <si>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</si>
  <si>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</si>
  <si>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</si>
  <si>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</si>
  <si>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</si>
  <si>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</si>
  <si>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</si>
  <si>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</si>
  <si>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</si>
  <si>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</si>
  <si>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</si>
  <si>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</si>
  <si>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</si>
  <si>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</si>
  <si>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</si>
  <si>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</si>
  <si>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</si>
  <si>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</si>
  <si>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</si>
  <si>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</si>
  <si>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</si>
  <si>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</si>
  <si>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</si>
  <si>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</si>
  <si>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</si>
  <si>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</si>
  <si>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</si>
  <si>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</si>
  <si>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</si>
  <si>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</si>
  <si>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</si>
  <si>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</si>
  <si>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</si>
  <si>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</si>
  <si>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</si>
  <si>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</si>
  <si>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</si>
  <si>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</si>
  <si>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</si>
  <si>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</si>
  <si>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</si>
  <si>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</si>
  <si>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</si>
  <si>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</si>
  <si>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</si>
  <si>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</si>
  <si>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</si>
  <si>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</si>
  <si>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</si>
  <si>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</si>
  <si>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</si>
  <si>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</si>
  <si>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</si>
  <si>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</si>
  <si>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</si>
  <si>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</si>
  <si>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</si>
  <si>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</si>
  <si>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</si>
  <si>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</si>
  <si>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</si>
  <si>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</si>
  <si>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</si>
  <si>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</si>
  <si>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</si>
  <si>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</si>
  <si>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</si>
  <si>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</si>
  <si>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</si>
  <si>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</si>
  <si>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</si>
  <si>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</si>
  <si>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</si>
  <si>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</si>
  <si>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</si>
  <si>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</si>
  <si>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</si>
  <si>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</si>
  <si>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</si>
  <si>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</si>
  <si>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</si>
  <si>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</si>
  <si>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</si>
  <si>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</si>
  <si>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</si>
  <si>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</si>
  <si>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</si>
  <si>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</si>
  <si>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</si>
  <si>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</si>
  <si>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</si>
  <si>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</si>
  <si>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</si>
  <si>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</si>
  <si>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</si>
  <si>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</si>
  <si>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</si>
  <si>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</si>
  <si>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</si>
  <si>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</si>
  <si>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</si>
  <si>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</si>
  <si>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</si>
  <si>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</si>
  <si>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</si>
  <si>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</si>
  <si>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</si>
  <si>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</si>
  <si>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</si>
  <si>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</si>
  <si>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</si>
  <si>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</si>
  <si>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</si>
  <si>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</si>
  <si>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</si>
  <si>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</si>
  <si>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</si>
  <si>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</si>
  <si>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</si>
  <si>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</si>
  <si>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</si>
  <si>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</si>
  <si>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</si>
  <si>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</si>
  <si>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</si>
  <si>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</si>
  <si>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</si>
  <si>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</si>
  <si>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</si>
  <si>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</si>
  <si>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</si>
  <si>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</si>
  <si>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</si>
  <si>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</si>
  <si>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</si>
  <si>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</si>
  <si>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</si>
  <si>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</si>
  <si>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</si>
  <si>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</si>
  <si>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</si>
  <si>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</si>
  <si>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</si>
  <si>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</si>
  <si>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</si>
  <si>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</si>
  <si>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</si>
  <si>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</si>
  <si>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</si>
  <si>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</si>
  <si>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</si>
  <si>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</si>
  <si>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</si>
  <si>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</si>
  <si>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</si>
  <si>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</si>
  <si>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</si>
  <si>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</si>
  <si>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</si>
  <si>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</si>
  <si>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</si>
  <si>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</si>
  <si>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</si>
  <si>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</si>
  <si>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</si>
  <si>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</si>
  <si>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</si>
  <si>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</si>
  <si>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</si>
  <si>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</si>
  <si>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</si>
  <si>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</si>
  <si>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</si>
  <si>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</si>
  <si>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</si>
  <si>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</si>
  <si>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</si>
  <si>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</si>
  <si>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</si>
  <si>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</si>
  <si>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</si>
  <si>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</si>
  <si>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</si>
  <si>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</si>
  <si>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</si>
  <si>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</si>
  <si>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</si>
  <si>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</si>
  <si>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</si>
  <si>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</si>
  <si>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</si>
  <si>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</si>
  <si>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</si>
  <si>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</si>
  <si>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</si>
  <si>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</si>
  <si>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</si>
  <si>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</si>
  <si>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</si>
  <si>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</si>
  <si>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</si>
  <si>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</si>
  <si>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</si>
  <si>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</si>
  <si>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</si>
  <si>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</si>
  <si>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</si>
  <si>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</si>
  <si>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</si>
  <si>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</si>
  <si>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</si>
  <si>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</si>
  <si>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</si>
  <si>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</si>
  <si>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</si>
  <si>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</si>
  <si>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</si>
  <si>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</si>
  <si>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</si>
  <si>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</si>
  <si>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</si>
  <si>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</si>
  <si>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</si>
  <si>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</si>
  <si>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</si>
  <si>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</si>
  <si>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</si>
  <si>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</si>
  <si>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</si>
  <si>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</si>
  <si>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</si>
  <si>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</si>
  <si>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</si>
  <si>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</si>
  <si>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</si>
  <si>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</si>
  <si>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</si>
  <si>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</si>
  <si>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</si>
  <si>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</si>
  <si>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</si>
  <si>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</si>
  <si>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</si>
  <si>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</si>
  <si>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</si>
  <si>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</si>
  <si>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</si>
  <si>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</si>
  <si>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</si>
  <si>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</si>
  <si>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</si>
  <si>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</si>
  <si>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</si>
  <si>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</si>
  <si>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</si>
  <si>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</si>
  <si>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</si>
  <si>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</si>
  <si>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</si>
  <si>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</si>
  <si>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</si>
  <si>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</si>
  <si>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</si>
  <si>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</si>
  <si>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</si>
  <si>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</si>
  <si>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</si>
  <si>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</si>
  <si>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</si>
  <si>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</si>
  <si>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</si>
  <si>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</si>
  <si>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</si>
  <si>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</si>
  <si>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</si>
  <si>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</si>
  <si>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</si>
  <si>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</si>
  <si>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</si>
  <si>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</si>
  <si>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</si>
  <si>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</si>
  <si>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</si>
  <si>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</si>
  <si>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</si>
  <si>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</si>
  <si>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</si>
  <si>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</si>
  <si>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</si>
  <si>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</si>
  <si>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</si>
  <si>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</si>
  <si>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</si>
  <si>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</si>
  <si>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</si>
  <si>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</si>
  <si>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</si>
  <si>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</si>
  <si>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</si>
  <si>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</si>
  <si>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</si>
  <si>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</si>
  <si>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</si>
  <si>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</si>
  <si>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</si>
  <si>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</si>
  <si>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</si>
  <si>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</si>
  <si>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</si>
  <si>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</si>
  <si>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</si>
  <si>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</si>
  <si>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</si>
  <si>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</si>
  <si>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</si>
  <si>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</si>
  <si>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</si>
  <si>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</si>
  <si>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</si>
  <si>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</si>
  <si>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</si>
  <si>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</si>
  <si>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</si>
  <si>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</si>
  <si>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</si>
  <si>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</si>
  <si>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</si>
  <si>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</si>
  <si>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</si>
  <si>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</si>
  <si>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</si>
  <si>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</si>
  <si>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</si>
  <si>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</si>
  <si>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</si>
  <si>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</si>
  <si>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</si>
  <si>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</si>
  <si>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</si>
  <si>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</si>
  <si>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</si>
  <si>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</si>
  <si>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</si>
  <si>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</si>
  <si>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</si>
  <si>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</si>
  <si>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</si>
  <si>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</si>
  <si>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</si>
  <si>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</si>
  <si>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</si>
  <si>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</si>
  <si>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</si>
  <si>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</si>
  <si>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</si>
  <si>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</si>
  <si>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</si>
  <si>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</si>
  <si>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</si>
  <si>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</si>
  <si>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</si>
  <si>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</si>
  <si>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</si>
  <si>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</si>
  <si>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</si>
  <si>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</si>
  <si>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</si>
  <si>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</si>
  <si>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</si>
  <si>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</si>
  <si>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</si>
  <si>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</si>
  <si>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</si>
  <si>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</si>
  <si>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</si>
  <si>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</si>
  <si>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</si>
  <si>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</si>
  <si>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</si>
  <si>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</si>
  <si>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</si>
  <si>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</si>
  <si>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</si>
  <si>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</si>
  <si>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</si>
  <si>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</si>
  <si>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</si>
  <si>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</si>
  <si>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</si>
  <si>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</si>
  <si>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</si>
  <si>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</si>
  <si>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</si>
  <si>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</si>
  <si>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</si>
  <si>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</si>
  <si>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</si>
  <si>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</si>
  <si>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</si>
  <si>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</si>
  <si>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</si>
  <si>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</si>
  <si>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</si>
  <si>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</si>
  <si>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</si>
  <si>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</si>
  <si>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</si>
  <si>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</si>
  <si>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</si>
  <si>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</si>
  <si>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</si>
  <si>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</si>
  <si>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</si>
  <si>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</si>
  <si>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</si>
  <si>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</si>
  <si>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</si>
  <si>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</si>
  <si>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</si>
  <si>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</si>
  <si>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</si>
  <si>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</si>
  <si>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</si>
  <si>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</si>
  <si>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</si>
  <si>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</si>
  <si>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</si>
  <si>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</si>
  <si>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</si>
  <si>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</si>
  <si>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</si>
  <si>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</si>
  <si>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</si>
  <si>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</si>
  <si>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</si>
  <si>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</si>
  <si>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</si>
  <si>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</si>
  <si>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</si>
  <si>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</si>
  <si>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</si>
  <si>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</si>
  <si>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</si>
  <si>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</si>
  <si>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</si>
  <si>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</si>
  <si>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</si>
  <si>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</si>
  <si>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</si>
  <si>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</si>
  <si>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</si>
  <si>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</si>
  <si>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</si>
  <si>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</si>
  <si>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</si>
  <si>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</si>
  <si>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</si>
  <si>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</si>
  <si>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</si>
  <si>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</si>
  <si>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</si>
  <si>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</si>
  <si>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</si>
  <si>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</si>
  <si>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</si>
  <si>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</si>
  <si>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</si>
  <si>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</si>
  <si>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</si>
  <si>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</si>
  <si>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</si>
  <si>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</si>
  <si>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</si>
  <si>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</si>
  <si>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</si>
  <si>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</si>
  <si>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</si>
  <si>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</si>
  <si>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</si>
  <si>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</si>
  <si>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</si>
  <si>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</si>
  <si>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</si>
  <si>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</si>
  <si>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</si>
  <si>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</si>
  <si>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</si>
  <si>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</si>
  <si>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</si>
  <si>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</si>
  <si>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</si>
  <si>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</si>
  <si>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</si>
  <si>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</si>
  <si>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</si>
  <si>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</si>
  <si>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</si>
  <si>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</si>
  <si>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</si>
  <si>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</si>
  <si>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</si>
  <si>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</si>
  <si>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</si>
  <si>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</si>
  <si>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</si>
  <si>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</si>
  <si>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</si>
  <si>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</si>
  <si>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</si>
  <si>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</si>
  <si>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</si>
  <si>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</si>
  <si>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</si>
  <si>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</si>
  <si>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</si>
  <si>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</si>
  <si>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</si>
  <si>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</si>
  <si>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</si>
  <si>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</si>
  <si>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</si>
  <si>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</si>
  <si>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</si>
  <si>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</si>
  <si>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</si>
  <si>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</si>
  <si>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</si>
  <si>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</si>
  <si>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</si>
  <si>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</si>
  <si>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</si>
  <si>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</si>
  <si>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</si>
  <si>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</si>
  <si>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</si>
  <si>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</si>
  <si>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</si>
  <si>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</si>
  <si>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</si>
  <si>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</si>
  <si>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</si>
  <si>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</si>
  <si>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</si>
  <si>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</si>
  <si>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</si>
  <si>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</si>
  <si>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</si>
  <si>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</si>
  <si>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</si>
  <si>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</si>
  <si>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</si>
  <si>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</si>
  <si>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</si>
  <si>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</si>
  <si>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</si>
  <si>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</si>
  <si>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</si>
  <si>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</si>
  <si>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</si>
  <si>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</si>
  <si>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</si>
  <si>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</si>
  <si>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</si>
  <si>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</si>
  <si>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</si>
  <si>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</si>
  <si>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</si>
  <si>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</si>
  <si>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</si>
  <si>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</si>
  <si>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</si>
  <si>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</si>
  <si>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</si>
  <si>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</si>
  <si>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</si>
  <si>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</si>
  <si>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</si>
  <si>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</si>
  <si>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</si>
  <si>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</si>
  <si>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</si>
  <si>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</si>
  <si>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</si>
  <si>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</si>
  <si>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</si>
  <si>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</si>
  <si>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</si>
  <si>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</si>
  <si>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</si>
  <si>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</si>
  <si>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</si>
  <si>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</si>
  <si>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</si>
  <si>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</si>
  <si>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</si>
  <si>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</si>
  <si>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</si>
  <si>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</si>
  <si>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</si>
  <si>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</si>
  <si>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</si>
  <si>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</si>
  <si>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</si>
  <si>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</si>
  <si>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</si>
  <si>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</si>
  <si>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</si>
  <si>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</si>
  <si>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</si>
  <si>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</si>
  <si>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</si>
  <si>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</si>
  <si>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</si>
  <si>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</si>
  <si>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</si>
  <si>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</si>
  <si>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</si>
  <si>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</si>
  <si>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</si>
  <si>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</si>
  <si>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</si>
  <si>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</si>
  <si>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</si>
  <si>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</si>
  <si>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</si>
  <si>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</si>
  <si>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</si>
  <si>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</si>
  <si>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</si>
  <si>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</si>
  <si>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</si>
  <si>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</si>
  <si>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</si>
  <si>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</si>
  <si>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</si>
  <si>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</si>
  <si>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</si>
  <si>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</si>
  <si>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</si>
  <si>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</si>
  <si>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</si>
  <si>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</si>
  <si>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</si>
  <si>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</si>
  <si>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</si>
  <si>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</si>
  <si>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</si>
  <si>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</si>
  <si>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</si>
  <si>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</si>
  <si>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</si>
  <si>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</si>
  <si>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</si>
  <si>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</si>
  <si>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</si>
  <si>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</si>
  <si>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</si>
  <si>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</si>
  <si>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</si>
  <si>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</si>
  <si>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</si>
  <si>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</si>
  <si>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</si>
  <si>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</si>
  <si>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</si>
  <si>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</si>
  <si>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</si>
  <si>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</si>
  <si>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</si>
  <si>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</si>
  <si>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</si>
  <si>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</si>
  <si>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</si>
  <si>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</si>
  <si>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</si>
  <si>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</si>
  <si>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</si>
  <si>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</si>
  <si>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</si>
  <si>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</si>
  <si>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</si>
  <si>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</si>
  <si>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</si>
  <si>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</si>
  <si>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</si>
  <si>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</si>
  <si>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</si>
  <si>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</si>
  <si>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</si>
  <si>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</si>
  <si>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</si>
  <si>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</si>
  <si>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</si>
  <si>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</si>
  <si>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</si>
  <si>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</si>
  <si>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</si>
  <si>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</si>
  <si>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</si>
  <si>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</si>
  <si>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</si>
  <si>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</si>
  <si>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</si>
  <si>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</si>
  <si>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</si>
  <si>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</si>
  <si>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</si>
  <si>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</si>
  <si>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</si>
  <si>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</si>
  <si>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</si>
  <si>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</si>
  <si>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</si>
  <si>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</si>
  <si>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</si>
  <si>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</si>
  <si>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</si>
  <si>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</si>
  <si>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</si>
  <si>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</si>
  <si>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</si>
  <si>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</si>
  <si>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</si>
  <si>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</si>
  <si>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</si>
  <si>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</si>
  <si>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</si>
  <si>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</si>
  <si>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</si>
  <si>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</si>
  <si>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</si>
  <si>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</si>
  <si>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</si>
  <si>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</si>
  <si>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</si>
  <si>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</si>
  <si>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</si>
  <si>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</si>
  <si>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</si>
  <si>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</si>
  <si>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</si>
  <si>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</si>
  <si>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</si>
  <si>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</si>
  <si>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</si>
  <si>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</si>
  <si>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</si>
  <si>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</si>
  <si>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</si>
  <si>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</si>
  <si>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</si>
  <si>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</si>
  <si>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</si>
  <si>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</si>
  <si>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</si>
  <si>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</si>
  <si>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</si>
  <si>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</si>
  <si>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</si>
  <si>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</si>
  <si>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</si>
  <si>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</si>
  <si>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</si>
  <si>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</si>
  <si>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</si>
  <si>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</si>
  <si>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</si>
  <si>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</si>
  <si>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</si>
  <si>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</si>
  <si>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</si>
  <si>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</si>
  <si>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</si>
  <si>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</si>
  <si>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</si>
  <si>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</si>
  <si>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</si>
  <si>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</si>
  <si>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</si>
  <si>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</si>
  <si>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</si>
  <si>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</si>
  <si>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</si>
  <si>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</si>
  <si>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</si>
  <si>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</si>
  <si>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</si>
  <si>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</si>
  <si>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</si>
  <si>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</si>
  <si>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</si>
  <si>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</si>
  <si>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</si>
  <si>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</si>
  <si>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</si>
  <si>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</si>
  <si>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</si>
  <si>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</si>
  <si>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</si>
  <si>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</si>
  <si>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</si>
  <si>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</si>
  <si>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</si>
  <si>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</si>
  <si>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</si>
  <si>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</si>
  <si>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</si>
  <si>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</si>
  <si>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</si>
  <si>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</si>
  <si>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</si>
  <si>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</si>
  <si>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</si>
  <si>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</si>
  <si>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</si>
  <si>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</si>
  <si>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</si>
  <si>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</si>
  <si>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</si>
  <si>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</si>
  <si>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</si>
  <si>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</si>
  <si>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</si>
  <si>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</si>
  <si>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</si>
  <si>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</si>
  <si>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</si>
  <si>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</si>
  <si>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</si>
  <si>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</si>
  <si>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</si>
  <si>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</si>
  <si>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</si>
  <si>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</si>
  <si>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</si>
  <si>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</si>
  <si>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</si>
  <si>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</si>
  <si>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</si>
  <si>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</si>
  <si>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</si>
  <si>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</si>
  <si>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</si>
  <si>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</si>
  <si>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</si>
  <si>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</si>
  <si>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</si>
  <si>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</si>
  <si>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</si>
  <si>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</si>
  <si>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</si>
  <si>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</si>
  <si>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</si>
  <si>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</si>
  <si>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</si>
  <si>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</si>
  <si>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</si>
  <si>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</si>
  <si>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</si>
  <si>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</si>
  <si>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</si>
  <si>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</si>
  <si>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</si>
  <si>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</si>
  <si>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</si>
  <si>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</si>
  <si>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</si>
  <si>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</si>
  <si>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</si>
  <si>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</si>
  <si>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</si>
  <si>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</si>
  <si>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</si>
  <si>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</si>
  <si>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</si>
  <si>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</si>
  <si>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</si>
  <si>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</si>
  <si>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</si>
  <si>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</si>
  <si>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</si>
  <si>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</si>
  <si>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</si>
  <si>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</si>
  <si>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</si>
  <si>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</si>
  <si>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</si>
  <si>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</si>
  <si>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</si>
  <si>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</si>
  <si>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</si>
  <si>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</si>
  <si>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</si>
  <si>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</si>
  <si>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</si>
  <si>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</si>
  <si>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</si>
  <si>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</si>
  <si>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</si>
  <si>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</si>
  <si>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</si>
  <si>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</si>
  <si>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</si>
  <si>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</si>
  <si>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</si>
  <si>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</si>
  <si>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</si>
  <si>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</si>
  <si>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</si>
  <si>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</si>
  <si>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</si>
  <si>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</si>
  <si>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</si>
  <si>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</si>
  <si>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</si>
  <si>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</si>
  <si>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</si>
  <si>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</si>
  <si>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</si>
  <si>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</si>
  <si>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</si>
  <si>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</si>
  <si>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</si>
  <si>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</si>
  <si>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</si>
  <si>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</si>
  <si>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</si>
  <si>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</si>
  <si>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</si>
  <si>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</si>
  <si>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</si>
  <si>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</si>
  <si>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</si>
  <si>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</si>
  <si>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</si>
  <si>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</si>
  <si>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</si>
  <si>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</si>
  <si>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</si>
  <si>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</si>
  <si>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</si>
  <si>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</si>
  <si>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</si>
  <si>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</si>
  <si>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</si>
  <si>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</si>
  <si>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</si>
  <si>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</si>
  <si>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</si>
  <si>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</si>
  <si>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</si>
  <si>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</si>
  <si>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</si>
  <si>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</si>
  <si>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</si>
  <si>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</si>
  <si>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</si>
  <si>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</si>
  <si>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</si>
  <si>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</si>
  <si>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</si>
  <si>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</si>
  <si>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</si>
  <si>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</si>
  <si>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</si>
  <si>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</si>
  <si>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</si>
  <si>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</si>
  <si>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</si>
  <si>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</si>
  <si>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</si>
  <si>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</si>
  <si>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</si>
  <si>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</si>
  <si>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</si>
  <si>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</si>
  <si>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</si>
  <si>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</si>
  <si>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</si>
  <si>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</si>
  <si>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</si>
  <si>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</si>
  <si>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</si>
  <si>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</si>
  <si>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</si>
  <si>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</si>
  <si>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</si>
  <si>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</si>
  <si>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</si>
  <si>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</si>
  <si>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</si>
  <si>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</si>
  <si>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</si>
  <si>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</si>
  <si>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</si>
  <si>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</si>
  <si>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</si>
  <si>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</si>
  <si>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</si>
  <si>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</si>
  <si>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</si>
  <si>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</si>
  <si>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</si>
  <si>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</si>
  <si>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</si>
  <si>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</si>
  <si>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</si>
  <si>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</si>
  <si>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</si>
  <si>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</si>
  <si>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</si>
  <si>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</si>
  <si>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</si>
  <si>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</si>
  <si>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</si>
  <si>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</si>
  <si>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</si>
  <si>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</si>
  <si>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</si>
  <si>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</si>
  <si>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</si>
  <si>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</si>
  <si>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</si>
  <si>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</si>
  <si>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</si>
  <si>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</si>
  <si>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</si>
  <si>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</si>
  <si>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</si>
  <si>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</si>
  <si>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</si>
  <si>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</si>
  <si>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</si>
  <si>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</si>
  <si>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</si>
  <si>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</si>
  <si>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</si>
  <si>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</si>
  <si>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</si>
  <si>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</si>
  <si>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</si>
  <si>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</si>
  <si>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</si>
  <si>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</si>
  <si>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</si>
  <si>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</si>
  <si>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</si>
  <si>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</si>
  <si>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</si>
  <si>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</si>
  <si>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</si>
  <si>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</si>
  <si>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</si>
  <si>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</si>
  <si>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</si>
  <si>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</si>
  <si>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</si>
  <si>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</si>
  <si>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</si>
  <si>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</si>
  <si>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</si>
  <si>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</si>
  <si>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</si>
  <si>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</si>
  <si>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</si>
  <si>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</si>
  <si>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</si>
  <si>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</si>
  <si>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</si>
  <si>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</si>
  <si>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</si>
  <si>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</si>
  <si>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</si>
  <si>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</si>
  <si>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</si>
  <si>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</si>
  <si>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</si>
  <si>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</si>
  <si>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</si>
  <si>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</si>
  <si>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</si>
  <si>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</si>
  <si>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</si>
  <si>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</si>
  <si>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</si>
  <si>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</si>
  <si>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</si>
  <si>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</si>
  <si>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</si>
  <si>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</si>
  <si>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</si>
  <si>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</si>
  <si>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</si>
  <si>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</si>
  <si>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</si>
  <si>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</si>
  <si>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</si>
  <si>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</si>
  <si>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</si>
  <si>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</si>
  <si>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</si>
  <si>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</si>
  <si>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</si>
  <si>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</si>
  <si>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</si>
  <si>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</si>
  <si>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</si>
  <si>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</si>
  <si>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</si>
  <si>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</si>
  <si>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</si>
  <si>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</si>
  <si>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</si>
  <si>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</si>
  <si>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</si>
  <si>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</si>
  <si>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</si>
  <si>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</si>
  <si>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</si>
  <si>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</si>
  <si>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</si>
  <si>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</si>
  <si>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</si>
  <si>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</si>
  <si>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</si>
  <si>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</si>
  <si>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</si>
  <si>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</si>
  <si>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</si>
  <si>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</si>
  <si>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</si>
  <si>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</si>
  <si>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</si>
  <si>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</si>
  <si>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</si>
  <si>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</si>
  <si>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</si>
  <si>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</si>
  <si>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</si>
  <si>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</si>
  <si>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</si>
  <si>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</si>
  <si>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</si>
  <si>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</si>
  <si>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</si>
  <si>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</si>
  <si>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</si>
  <si>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</si>
  <si>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</si>
  <si>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</si>
  <si>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</si>
  <si>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</si>
  <si>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</si>
  <si>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</si>
  <si>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</si>
  <si>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</si>
  <si>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</si>
  <si>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</si>
  <si>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</si>
  <si>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</si>
  <si>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</si>
  <si>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</si>
  <si>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</si>
  <si>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</si>
  <si>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</si>
  <si>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</si>
  <si>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</si>
  <si>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</si>
  <si>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</si>
  <si>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</si>
  <si>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</si>
  <si>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</si>
  <si>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</si>
  <si>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</si>
  <si>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</si>
  <si>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</si>
  <si>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</si>
  <si>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</si>
  <si>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</si>
  <si>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</si>
  <si>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</si>
  <si>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</si>
  <si>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</si>
  <si>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</si>
  <si>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</si>
  <si>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</si>
  <si>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</si>
  <si>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</si>
  <si>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</si>
  <si>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</si>
  <si>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</si>
  <si>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</si>
  <si>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</si>
  <si>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</si>
  <si>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</si>
  <si>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</si>
  <si>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</si>
  <si>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</si>
  <si>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</si>
  <si>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</si>
  <si>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</si>
  <si>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</si>
  <si>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</si>
  <si>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</si>
  <si>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</si>
  <si>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</si>
  <si>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</si>
  <si>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</si>
  <si>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</si>
  <si>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</si>
  <si>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</si>
  <si>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</si>
  <si>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</si>
  <si>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</si>
  <si>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</si>
  <si>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</si>
  <si>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</si>
  <si>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</si>
  <si>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</si>
  <si>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</si>
  <si>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</si>
  <si>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</si>
  <si>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</si>
  <si>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</si>
  <si>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</si>
  <si>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</si>
  <si>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</si>
  <si>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</si>
  <si>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</si>
  <si>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</si>
  <si>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</si>
  <si>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</si>
  <si>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</si>
  <si>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</si>
  <si>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</si>
  <si>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</si>
  <si>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</si>
  <si>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</si>
  <si>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</si>
  <si>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</si>
  <si>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</si>
  <si>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</si>
  <si>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</si>
  <si>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</si>
  <si>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</si>
  <si>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</si>
  <si>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</si>
  <si>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</si>
  <si>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</si>
  <si>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</si>
  <si>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</si>
  <si>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</si>
  <si>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</si>
  <si>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</si>
  <si>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</si>
  <si>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</si>
  <si>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</si>
  <si>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</si>
  <si>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</si>
  <si>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</si>
  <si>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</si>
  <si>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</si>
  <si>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</si>
  <si>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</si>
  <si>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</si>
  <si>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</si>
  <si>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</si>
  <si>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</si>
  <si>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</si>
  <si>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</si>
  <si>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</si>
  <si>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</si>
  <si>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</si>
  <si>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</si>
  <si>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</si>
  <si>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</si>
  <si>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</si>
  <si>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</si>
  <si>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</si>
  <si>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</si>
  <si>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</si>
  <si>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</si>
  <si>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</si>
  <si>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</si>
  <si>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</si>
  <si>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</si>
  <si>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</si>
  <si>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</si>
  <si>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</si>
  <si>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</si>
  <si>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</si>
  <si>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</si>
  <si>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</si>
  <si>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</si>
  <si>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</si>
  <si>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</si>
  <si>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</si>
  <si>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</si>
  <si>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</si>
  <si>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</si>
  <si>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</si>
  <si>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</si>
  <si>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</si>
  <si>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</si>
  <si>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</si>
  <si>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</si>
  <si>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</si>
  <si>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</si>
  <si>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</si>
  <si>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</si>
  <si>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</si>
  <si>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</si>
  <si>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</si>
  <si>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</si>
  <si>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</si>
  <si>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</si>
  <si>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</si>
  <si>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</si>
  <si>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</si>
  <si>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</si>
  <si>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</si>
  <si>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</si>
  <si>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</si>
  <si>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</si>
  <si>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</si>
  <si>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</si>
  <si>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</si>
  <si>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</si>
  <si>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</si>
  <si>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</si>
  <si>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</si>
  <si>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</si>
  <si>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</si>
  <si>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</si>
  <si>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</si>
  <si>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</si>
  <si>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</si>
  <si>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</si>
  <si>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</si>
  <si>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</si>
  <si>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</si>
  <si>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</si>
  <si>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</si>
  <si>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</si>
  <si>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</si>
  <si>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</si>
  <si>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</si>
  <si>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</si>
  <si>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</si>
  <si>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</si>
  <si>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</si>
  <si>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</si>
  <si>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</si>
  <si>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</si>
  <si>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</si>
  <si>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</si>
  <si>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</si>
  <si>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</si>
  <si>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</si>
  <si>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</si>
  <si>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</si>
  <si>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</si>
  <si>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</si>
  <si>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</si>
  <si>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</si>
  <si>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</si>
  <si>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</si>
  <si>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</si>
  <si>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</si>
  <si>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</si>
  <si>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</si>
  <si>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</si>
  <si>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</si>
  <si>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</si>
  <si>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</si>
  <si>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</si>
  <si>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</si>
  <si>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</si>
  <si>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</si>
  <si>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</si>
  <si>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</si>
  <si>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</si>
  <si>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</si>
  <si>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</si>
  <si>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</si>
  <si>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</si>
  <si>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</si>
  <si>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</si>
  <si>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</si>
  <si>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</si>
  <si>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</si>
  <si>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</si>
  <si>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</si>
  <si>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</si>
  <si>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</si>
  <si>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</si>
  <si>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</si>
  <si>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</si>
  <si>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</si>
  <si>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</si>
  <si>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</si>
  <si>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</si>
  <si>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</si>
  <si>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</si>
  <si>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</si>
  <si>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</si>
  <si>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</si>
  <si>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</si>
  <si>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</si>
  <si>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</si>
  <si>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</si>
  <si>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</si>
  <si>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</si>
  <si>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</si>
  <si>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</si>
  <si>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</si>
  <si>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</si>
  <si>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</si>
  <si>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</si>
  <si>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</si>
  <si>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</si>
  <si>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</si>
  <si>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</si>
  <si>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</si>
  <si>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</si>
  <si>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</si>
  <si>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</si>
  <si>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</si>
  <si>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</si>
  <si>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</si>
  <si>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</si>
  <si>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</si>
  <si>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</si>
  <si>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</si>
  <si>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</si>
  <si>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</si>
  <si>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</si>
  <si>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</si>
  <si>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</si>
  <si>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</si>
  <si>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</si>
  <si>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</si>
  <si>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</si>
  <si>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</si>
  <si>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</si>
  <si>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</si>
  <si>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</si>
  <si>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</si>
  <si>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</si>
  <si>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</si>
  <si>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</si>
  <si>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</si>
  <si>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</si>
  <si>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</si>
  <si>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</si>
  <si>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</si>
  <si>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</si>
  <si>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</si>
  <si>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</si>
  <si>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</si>
  <si>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</si>
  <si>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</si>
  <si>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</si>
  <si>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</si>
  <si>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</si>
  <si>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</si>
  <si>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</si>
  <si>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</si>
  <si>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</si>
  <si>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</si>
  <si>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</si>
  <si>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</si>
  <si>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</si>
  <si>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</si>
  <si>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</si>
  <si>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</si>
  <si>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</si>
  <si>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</si>
  <si>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</si>
  <si>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</si>
  <si>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</si>
  <si>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</si>
  <si>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</si>
  <si>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</si>
  <si>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</si>
  <si>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</si>
  <si>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</si>
  <si>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</si>
  <si>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</si>
  <si>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</si>
  <si>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</si>
  <si>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</si>
  <si>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</si>
  <si>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</si>
  <si>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</si>
  <si>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</si>
  <si>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</si>
  <si>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</si>
  <si>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</si>
  <si>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</si>
  <si>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</si>
  <si>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</si>
  <si>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</si>
  <si>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</si>
  <si>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</si>
  <si>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</si>
  <si>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</si>
  <si>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</si>
  <si>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</si>
  <si>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</si>
  <si>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</si>
  <si>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</si>
  <si>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</si>
  <si>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</si>
  <si>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</si>
  <si>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</si>
  <si>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</si>
  <si>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</si>
  <si>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</si>
  <si>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</si>
  <si>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</si>
  <si>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</si>
  <si>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</si>
  <si>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</si>
  <si>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</si>
  <si>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</si>
  <si>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</si>
  <si>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</si>
  <si>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</si>
  <si>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</si>
  <si>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</si>
  <si>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</si>
  <si>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</si>
  <si>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</si>
  <si>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</si>
  <si>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</si>
  <si>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</si>
  <si>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</si>
  <si>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</si>
  <si>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</si>
  <si>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</si>
  <si>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</si>
  <si>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</si>
  <si>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</si>
  <si>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</si>
  <si>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</si>
  <si>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</si>
  <si>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</si>
  <si>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</si>
  <si>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</si>
  <si>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</si>
  <si>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</si>
  <si>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</si>
  <si>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</si>
  <si>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</si>
  <si>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</si>
  <si>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</si>
  <si>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</si>
  <si>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</si>
  <si>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</si>
  <si>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</si>
  <si>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</si>
  <si>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</si>
  <si>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</si>
  <si>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</si>
  <si>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</si>
  <si>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</si>
  <si>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</si>
  <si>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</si>
  <si>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</si>
  <si>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</si>
  <si>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</si>
  <si>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</si>
  <si>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</si>
  <si>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</si>
  <si>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</si>
  <si>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</si>
  <si>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</si>
  <si>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</si>
  <si>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</si>
  <si>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</si>
  <si>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</si>
  <si>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</si>
  <si>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</si>
  <si>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</si>
  <si>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</si>
  <si>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</si>
  <si>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</si>
  <si>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</si>
  <si>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</si>
  <si>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</si>
  <si>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</si>
  <si>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</si>
  <si>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</si>
  <si>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</si>
  <si>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</si>
  <si>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</si>
  <si>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</si>
  <si>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</si>
  <si>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</si>
  <si>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</si>
  <si>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</si>
  <si>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</si>
  <si>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</si>
  <si>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</si>
  <si>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</si>
  <si>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</si>
  <si>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</si>
  <si>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</si>
  <si>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</si>
  <si>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</si>
  <si>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</si>
  <si>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</si>
  <si>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</si>
  <si>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</si>
  <si>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</si>
  <si>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</si>
  <si>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</si>
  <si>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</si>
  <si>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</si>
  <si>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</si>
  <si>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</si>
  <si>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</si>
  <si>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</si>
  <si>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</si>
  <si>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</si>
  <si>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</si>
  <si>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</si>
  <si>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</si>
  <si>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</si>
  <si>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</si>
  <si>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</si>
  <si>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</si>
  <si>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</si>
  <si>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</si>
  <si>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</si>
  <si>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</si>
  <si>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</si>
  <si>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</si>
  <si>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</si>
  <si>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</si>
  <si>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</si>
  <si>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</si>
  <si>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</si>
  <si>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</si>
  <si>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</si>
  <si>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</si>
  <si>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</si>
  <si>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</si>
  <si>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</si>
  <si>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</si>
  <si>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</si>
  <si>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</si>
  <si>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</si>
  <si>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</si>
  <si>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</si>
  <si>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</si>
  <si>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</si>
  <si>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</si>
  <si>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</si>
  <si>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</si>
  <si>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</si>
  <si>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</si>
  <si>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</si>
  <si>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</si>
  <si>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</si>
  <si>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</si>
  <si>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</si>
  <si>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</si>
  <si>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</si>
  <si>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</si>
  <si>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</si>
  <si>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</si>
  <si>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</si>
  <si>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</si>
  <si>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</si>
  <si>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</si>
  <si>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</si>
  <si>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</si>
  <si>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</si>
  <si>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</si>
  <si>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</si>
  <si>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</si>
  <si>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</si>
  <si>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</si>
  <si>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</si>
  <si>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</si>
  <si>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</si>
  <si>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</si>
  <si>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</si>
  <si>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</si>
  <si>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</si>
  <si>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</si>
  <si>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</si>
  <si>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</si>
  <si>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</si>
  <si>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</si>
  <si>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</si>
  <si>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</si>
  <si>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</si>
  <si>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</si>
  <si>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</si>
  <si>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</si>
  <si>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</si>
  <si>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</si>
  <si>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</si>
  <si>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</si>
  <si>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</si>
  <si>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</si>
  <si>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</si>
  <si>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</si>
  <si>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</si>
  <si>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</si>
  <si>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</si>
  <si>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</si>
  <si>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</si>
  <si>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</si>
  <si>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</si>
  <si>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</si>
  <si>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</si>
  <si>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</si>
  <si>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</si>
  <si>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</si>
  <si>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</si>
  <si>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</si>
  <si>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</si>
  <si>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</si>
  <si>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</si>
  <si>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</si>
  <si>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</si>
  <si>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</si>
  <si>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</si>
  <si>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</si>
  <si>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</si>
  <si>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</si>
  <si>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</si>
  <si>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</si>
  <si>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</si>
  <si>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</si>
  <si>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</si>
  <si>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</si>
  <si>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</si>
  <si>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</si>
  <si>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</si>
  <si>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</si>
  <si>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</si>
  <si>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</si>
  <si>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</si>
  <si>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</si>
  <si>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</si>
  <si>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</si>
  <si>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</si>
  <si>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</si>
  <si>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</si>
  <si>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</si>
  <si>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</si>
  <si>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</si>
  <si>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</si>
  <si>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</si>
  <si>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</si>
  <si>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</si>
  <si>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</si>
  <si>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</si>
  <si>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</si>
  <si>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</si>
  <si>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</si>
  <si>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</si>
  <si>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</si>
  <si>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</si>
  <si>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</si>
  <si>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</si>
  <si>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</si>
  <si>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</si>
  <si>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</si>
  <si>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</si>
  <si>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</si>
  <si>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</si>
  <si>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</si>
  <si>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</si>
  <si>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</si>
  <si>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</si>
  <si>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</si>
  <si>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</si>
  <si>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</si>
  <si>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</si>
  <si>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</si>
  <si>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</si>
  <si>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</si>
  <si>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</si>
  <si>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</si>
  <si>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</si>
  <si>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</si>
  <si>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</si>
  <si>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</si>
  <si>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</si>
  <si>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</si>
  <si>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</si>
  <si>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</si>
  <si>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</si>
  <si>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</si>
  <si>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</si>
  <si>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</si>
  <si>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</si>
  <si>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</si>
  <si>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</si>
  <si>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</si>
  <si>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</si>
  <si>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</si>
  <si>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</si>
  <si>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</si>
  <si>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</si>
  <si>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</si>
  <si>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</si>
  <si>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</si>
  <si>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</si>
  <si>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</si>
  <si>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</si>
  <si>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</si>
  <si>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</si>
  <si>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</si>
  <si>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</si>
  <si>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</si>
  <si>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</si>
  <si>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</si>
  <si>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</si>
  <si>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</si>
  <si>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</si>
  <si>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</si>
  <si>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</si>
  <si>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</si>
  <si>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</si>
  <si>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</si>
  <si>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</si>
  <si>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</si>
  <si>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</si>
  <si>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</si>
  <si>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</si>
  <si>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</si>
  <si>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</si>
  <si>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</si>
  <si>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</si>
  <si>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</si>
  <si>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</si>
  <si>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</si>
  <si>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</si>
  <si>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</si>
  <si>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</si>
  <si>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</si>
  <si>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</si>
  <si>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</si>
  <si>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</si>
  <si>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</si>
  <si>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</si>
  <si>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</si>
  <si>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</si>
  <si>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</si>
  <si>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</si>
  <si>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</si>
  <si>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</si>
  <si>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</si>
  <si>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</si>
  <si>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</si>
  <si>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</si>
  <si>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</si>
  <si>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</si>
  <si>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</si>
  <si>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</si>
  <si>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</si>
  <si>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</si>
  <si>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</si>
  <si>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</si>
  <si>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</si>
  <si>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</si>
  <si>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</si>
  <si>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</si>
  <si>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</si>
  <si>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</si>
  <si>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</si>
  <si>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</si>
  <si>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</si>
  <si>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</si>
  <si>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</si>
  <si>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</si>
  <si>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</si>
  <si>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</si>
  <si>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</si>
  <si>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</si>
  <si>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</si>
  <si>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</si>
  <si>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</si>
  <si>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</si>
  <si>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</si>
  <si>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</si>
  <si>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</si>
  <si>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</si>
  <si>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</si>
  <si>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</si>
  <si>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</si>
  <si>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</si>
  <si>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</si>
  <si>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</si>
  <si>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</si>
  <si>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</si>
  <si>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</si>
  <si>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</si>
  <si>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</si>
  <si>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</si>
  <si>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</si>
  <si>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</si>
  <si>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</si>
  <si>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</si>
  <si>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</si>
  <si>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</si>
  <si>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</si>
  <si>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</si>
  <si>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</si>
  <si>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</si>
  <si>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</si>
  <si>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</si>
  <si>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</si>
  <si>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</si>
  <si>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</si>
  <si>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</si>
  <si>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</si>
  <si>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</si>
  <si>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</si>
  <si>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</si>
  <si>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</si>
  <si>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</si>
  <si>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</si>
  <si>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</si>
  <si>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</si>
  <si>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</si>
  <si>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</si>
  <si>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</si>
  <si>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</si>
  <si>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</si>
  <si>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</si>
  <si>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</si>
  <si>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</si>
  <si>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</si>
  <si>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</si>
  <si>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</si>
  <si>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</si>
  <si>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</si>
  <si>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</si>
  <si>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</si>
  <si>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</si>
  <si>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</si>
  <si>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</si>
  <si>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</si>
  <si>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</si>
  <si>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</si>
  <si>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</si>
  <si>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</si>
  <si>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</si>
  <si>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</si>
  <si>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</si>
  <si>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</si>
  <si>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</si>
  <si>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</si>
  <si>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</si>
  <si>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</si>
  <si>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</si>
  <si>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</si>
  <si>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</si>
  <si>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</si>
  <si>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</si>
  <si>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</si>
  <si>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</si>
  <si>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</si>
  <si>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</si>
  <si>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</si>
  <si>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</si>
  <si>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</si>
  <si>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</si>
  <si>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</si>
  <si>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</si>
  <si>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</si>
  <si>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</si>
  <si>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</si>
  <si>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</si>
  <si>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</si>
  <si>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</si>
  <si>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</si>
  <si>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</si>
  <si>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</si>
  <si>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</si>
  <si>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</si>
  <si>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</si>
  <si>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</si>
  <si>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</si>
  <si>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</si>
  <si>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</si>
  <si>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</si>
  <si>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</si>
  <si>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</si>
  <si>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</si>
  <si>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</si>
  <si>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</si>
  <si>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</si>
  <si>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</si>
  <si>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</si>
  <si>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</si>
  <si>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</si>
  <si>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</si>
  <si>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</si>
  <si>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</si>
  <si>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</si>
  <si>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</si>
  <si>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</si>
  <si>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</si>
  <si>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</si>
  <si>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</si>
  <si>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</si>
  <si>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</si>
  <si>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</si>
  <si>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</si>
  <si>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</si>
  <si>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</si>
  <si>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</si>
  <si>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</si>
  <si>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</si>
  <si>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</si>
  <si>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</si>
  <si>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</si>
  <si>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</si>
  <si>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</si>
  <si>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</si>
  <si>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</si>
  <si>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</si>
  <si>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</si>
  <si>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</si>
  <si>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</si>
  <si>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</si>
  <si>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</si>
  <si>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</si>
  <si>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</si>
  <si>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</si>
  <si>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</si>
  <si>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</si>
  <si>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</si>
  <si>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</si>
  <si>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</si>
  <si>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</si>
  <si>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</si>
  <si>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</si>
  <si>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</si>
  <si>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</si>
  <si>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</si>
  <si>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</si>
  <si>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</si>
  <si>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</si>
  <si>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</si>
  <si>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</si>
  <si>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</si>
  <si>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</si>
  <si>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</si>
  <si>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</si>
  <si>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</si>
  <si>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</si>
  <si>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</si>
  <si>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</si>
  <si>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</si>
  <si>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</si>
  <si>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</si>
  <si>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</si>
  <si>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</si>
  <si>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</si>
  <si>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</si>
  <si>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</si>
  <si>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</si>
  <si>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</si>
  <si>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</si>
  <si>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</si>
  <si>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</si>
  <si>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</si>
  <si>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</si>
  <si>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</si>
  <si>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</si>
  <si>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</si>
  <si>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</si>
  <si>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</si>
  <si>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</si>
  <si>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</si>
  <si>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</si>
  <si>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</si>
  <si>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</si>
  <si>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</si>
  <si>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</si>
  <si>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</si>
  <si>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</si>
  <si>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</si>
  <si>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</si>
  <si>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</si>
  <si>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</si>
  <si>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</si>
  <si>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</si>
  <si>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</si>
  <si>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</si>
  <si>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</si>
  <si>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</si>
  <si>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</si>
  <si>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</si>
  <si>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</si>
  <si>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</si>
  <si>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</si>
  <si>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</si>
  <si>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</si>
  <si>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</si>
  <si>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</si>
  <si>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</si>
  <si>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</si>
  <si>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</si>
  <si>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</si>
  <si>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</si>
  <si>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</si>
  <si>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</si>
  <si>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</si>
  <si>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</si>
  <si>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</si>
  <si>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</si>
  <si>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</si>
  <si>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</si>
  <si>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</si>
  <si>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</si>
  <si>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</si>
  <si>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</si>
  <si>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</si>
  <si>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</si>
  <si>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</si>
  <si>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</si>
  <si>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</si>
  <si>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</si>
  <si>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</si>
  <si>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</si>
  <si>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</si>
  <si>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</si>
  <si>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</si>
  <si>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</si>
  <si>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</si>
  <si>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</si>
  <si>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</si>
  <si>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</si>
  <si>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</si>
  <si>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</si>
  <si>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</si>
  <si>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</si>
  <si>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</si>
  <si>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</si>
  <si>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</si>
  <si>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</si>
  <si>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</si>
  <si>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</si>
  <si>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</si>
  <si>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</si>
  <si>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</si>
  <si>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</si>
  <si>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</si>
  <si>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</si>
  <si>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</si>
  <si>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</si>
  <si>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</si>
  <si>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</si>
  <si>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</si>
  <si>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</si>
  <si>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</si>
  <si>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</si>
  <si>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</si>
  <si>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</si>
  <si>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</si>
  <si>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</si>
  <si>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</si>
  <si>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</si>
  <si>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</si>
  <si>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</si>
  <si>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</si>
  <si>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</si>
  <si>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</si>
  <si>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</si>
  <si>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</si>
  <si>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</si>
  <si>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</si>
  <si>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</si>
  <si>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</si>
  <si>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</si>
  <si>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</si>
  <si>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</si>
  <si>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</si>
  <si>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</si>
  <si>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</si>
  <si>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</si>
  <si>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</si>
  <si>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</si>
  <si>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</si>
  <si>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</si>
  <si>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</si>
  <si>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</si>
  <si>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</si>
  <si>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</si>
  <si>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</si>
  <si>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</si>
  <si>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</si>
  <si>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</si>
  <si>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</si>
  <si>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</si>
  <si>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</si>
  <si>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</si>
  <si>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</si>
  <si>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</si>
  <si>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</si>
  <si>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</si>
  <si>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</si>
  <si>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</si>
  <si>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</si>
  <si>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</si>
  <si>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</si>
  <si>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</si>
  <si>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</si>
  <si>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</si>
  <si>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</si>
  <si>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</si>
  <si>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</si>
  <si>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</si>
  <si>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</si>
  <si>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</si>
  <si>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</si>
  <si>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</si>
  <si>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</si>
  <si>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</si>
  <si>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</si>
  <si>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</si>
  <si>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</si>
  <si>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</si>
  <si>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</si>
  <si>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</si>
  <si>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</si>
  <si>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</si>
  <si>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</si>
  <si>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</si>
  <si>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</si>
  <si>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</si>
  <si>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</si>
  <si>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</si>
  <si>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</si>
  <si>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</si>
  <si>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</si>
  <si>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</si>
  <si>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</si>
  <si>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</si>
  <si>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</si>
  <si>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</si>
  <si>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</si>
  <si>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</si>
  <si>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</si>
  <si>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</si>
  <si>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</si>
  <si>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</si>
  <si>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</si>
  <si>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</si>
  <si>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</si>
  <si>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</si>
  <si>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</si>
  <si>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</si>
  <si>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</si>
  <si>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</si>
  <si>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</si>
  <si>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</si>
  <si>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</si>
  <si>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</si>
  <si>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</si>
  <si>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</si>
  <si>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</si>
  <si>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</si>
  <si>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</si>
  <si>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</si>
  <si>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</si>
  <si>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</si>
  <si>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</si>
  <si>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</si>
  <si>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</si>
  <si>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</si>
  <si>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</si>
  <si>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</si>
  <si>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</si>
  <si>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</si>
  <si>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</si>
  <si>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</si>
  <si>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</si>
  <si>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</si>
  <si>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</si>
  <si>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</si>
  <si>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</si>
  <si>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</si>
  <si>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</si>
  <si>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</si>
  <si>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</si>
  <si>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</si>
  <si>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</si>
  <si>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</si>
  <si>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</si>
  <si>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</si>
  <si>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</si>
  <si>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</si>
  <si>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</si>
  <si>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</si>
  <si>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</si>
  <si>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</si>
  <si>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</si>
  <si>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</si>
  <si>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</si>
  <si>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</si>
  <si>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</si>
  <si>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</si>
  <si>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</si>
  <si>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</si>
  <si>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</si>
  <si>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</si>
  <si>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</si>
  <si>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</si>
  <si>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</si>
  <si>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</si>
  <si>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</si>
  <si>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</si>
  <si>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</si>
  <si>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</si>
  <si>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</si>
  <si>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</si>
  <si>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</si>
  <si>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</si>
  <si>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</si>
  <si>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</si>
  <si>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</si>
  <si>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</si>
  <si>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</si>
  <si>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</si>
  <si>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</si>
  <si>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</si>
  <si>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</si>
  <si>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</si>
  <si>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</si>
  <si>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</si>
  <si>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</si>
  <si>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</si>
  <si>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</si>
  <si>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</si>
  <si>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</si>
  <si>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</si>
  <si>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</si>
  <si>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</si>
  <si>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</si>
  <si>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</si>
  <si>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</si>
  <si>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</si>
  <si>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</si>
  <si>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</si>
  <si>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</si>
  <si>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</si>
  <si>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</si>
  <si>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</si>
  <si>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</si>
  <si>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</si>
  <si>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</si>
  <si>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</si>
  <si>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</si>
  <si>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</si>
  <si>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</si>
  <si>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</si>
  <si>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</si>
  <si>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</si>
  <si>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</si>
  <si>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</si>
  <si>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</si>
  <si>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</si>
  <si>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</si>
  <si>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</si>
  <si>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</si>
  <si>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</si>
  <si>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</si>
  <si>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</si>
  <si>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</si>
  <si>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</si>
  <si>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</si>
  <si>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</si>
  <si>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</si>
  <si>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</si>
  <si>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</si>
  <si>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</si>
  <si>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</si>
  <si>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</si>
  <si>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</si>
  <si>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</si>
  <si>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</si>
  <si>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</si>
  <si>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</si>
  <si>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</si>
  <si>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</si>
  <si>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</si>
  <si>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</si>
  <si>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</si>
  <si>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</si>
  <si>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</si>
  <si>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</si>
  <si>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</si>
  <si>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</si>
  <si>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</si>
  <si>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</si>
  <si>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</si>
  <si>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</si>
  <si>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</si>
  <si>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</si>
  <si>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</si>
  <si>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</si>
  <si>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</si>
  <si>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</si>
  <si>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</si>
  <si>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</si>
  <si>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</si>
  <si>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</si>
  <si>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</si>
  <si>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</si>
  <si>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</si>
  <si>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</si>
  <si>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</si>
  <si>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</si>
  <si>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</si>
  <si>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</si>
  <si>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</si>
  <si>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</si>
  <si>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</si>
  <si>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</si>
  <si>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</si>
  <si>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</si>
  <si>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</si>
  <si>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</si>
  <si>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</si>
  <si>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</si>
  <si>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</si>
  <si>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</si>
  <si>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</si>
  <si>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</si>
  <si>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</si>
  <si>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</si>
  <si>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</si>
  <si>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</si>
  <si>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</si>
  <si>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</si>
  <si>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</si>
  <si>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</si>
  <si>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</si>
  <si>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</si>
  <si>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</si>
  <si>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</si>
  <si>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</si>
  <si>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</si>
  <si>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</si>
  <si>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</si>
  <si>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</si>
  <si>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</si>
  <si>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</si>
  <si>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</si>
  <si>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</si>
  <si>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</si>
  <si>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</si>
  <si>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</si>
  <si>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</si>
  <si>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</si>
  <si>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</si>
  <si>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</si>
  <si>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</si>
  <si>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</si>
  <si>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</si>
  <si>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</si>
  <si>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</si>
  <si>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</si>
  <si>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</si>
  <si>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</si>
  <si>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</si>
  <si>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</si>
  <si>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</si>
  <si>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</si>
  <si>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</si>
  <si>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</si>
  <si>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</si>
  <si>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</si>
  <si>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</si>
  <si>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</si>
  <si>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</si>
  <si>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</si>
  <si>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</si>
  <si>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</si>
  <si>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</si>
  <si>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</si>
  <si>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</si>
  <si>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</si>
  <si>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</si>
  <si>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</si>
  <si>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</si>
  <si>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</si>
  <si>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</si>
  <si>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</si>
  <si>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</si>
  <si>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</si>
  <si>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</si>
  <si>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</si>
  <si>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</si>
  <si>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</si>
  <si>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</si>
  <si>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</si>
  <si>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</si>
  <si>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</si>
  <si>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</si>
  <si>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</si>
  <si>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</si>
  <si>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</si>
  <si>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</si>
  <si>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</si>
  <si>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</si>
  <si>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</si>
  <si>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</si>
  <si>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</si>
  <si>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</si>
  <si>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</si>
  <si>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</si>
  <si>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</si>
  <si>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</si>
  <si>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</si>
  <si>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</si>
  <si>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</si>
  <si>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</si>
  <si>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</si>
  <si>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</si>
  <si>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</si>
  <si>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</si>
  <si>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</si>
  <si>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</si>
  <si>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</si>
  <si>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</si>
  <si>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</si>
  <si>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</si>
  <si>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</si>
  <si>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</si>
  <si>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</si>
  <si>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</si>
  <si>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</si>
  <si>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</si>
  <si>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</si>
  <si>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</si>
  <si>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</si>
  <si>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</si>
  <si>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</si>
  <si>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</si>
  <si>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</si>
  <si>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</si>
  <si>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</si>
  <si>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</si>
  <si>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</si>
  <si>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</si>
  <si>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</si>
  <si>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</si>
  <si>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</si>
  <si>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</si>
  <si>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</si>
  <si>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</si>
  <si>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</si>
  <si>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</si>
  <si>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</si>
  <si>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</si>
  <si>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</si>
  <si>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</si>
  <si>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</si>
  <si>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</si>
  <si>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</si>
  <si>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</si>
  <si>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</si>
  <si>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</si>
  <si>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</si>
  <si>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</si>
  <si>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</si>
  <si>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</si>
  <si>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</si>
  <si>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</si>
  <si>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</si>
  <si>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</si>
  <si>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</si>
  <si>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</si>
  <si>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</si>
  <si>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</si>
  <si>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</si>
  <si>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</si>
  <si>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</si>
  <si>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</si>
  <si>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</si>
  <si>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</si>
  <si>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</si>
  <si>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</si>
  <si>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</si>
  <si>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</si>
  <si>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</si>
  <si>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</si>
  <si>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</si>
  <si>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</si>
  <si>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</si>
  <si>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</si>
  <si>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</si>
  <si>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</si>
  <si>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</si>
  <si>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</si>
  <si>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</si>
  <si>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</si>
  <si>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</si>
  <si>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</si>
  <si>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</si>
  <si>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</si>
  <si>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</si>
  <si>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</si>
  <si>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</si>
  <si>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</si>
  <si>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</si>
  <si>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</si>
  <si>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</si>
  <si>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</si>
  <si>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</si>
  <si>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</si>
  <si>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</si>
  <si>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</si>
  <si>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</si>
  <si>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</si>
  <si>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</si>
  <si>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</si>
  <si>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</si>
  <si>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</si>
  <si>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</si>
  <si>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</si>
  <si>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</si>
  <si>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</si>
  <si>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</si>
  <si>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</si>
  <si>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</si>
  <si>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</si>
  <si>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</si>
  <si>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</si>
  <si>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</si>
  <si>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</si>
  <si>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</si>
  <si>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</si>
  <si>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</si>
  <si>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</si>
  <si>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</si>
  <si>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</si>
  <si>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</si>
  <si>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</si>
  <si>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</si>
  <si>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</si>
  <si>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</si>
  <si>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</si>
  <si>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</si>
  <si>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</si>
  <si>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</si>
  <si>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</si>
  <si>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</si>
  <si>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</si>
  <si>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</si>
  <si>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</si>
  <si>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</si>
  <si>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</si>
  <si>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</si>
  <si>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</si>
  <si>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</si>
  <si>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</si>
  <si>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</si>
  <si>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</si>
  <si>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</si>
  <si>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</si>
  <si>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</si>
  <si>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</si>
  <si>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</si>
  <si>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</si>
  <si>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</si>
  <si>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</si>
  <si>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</si>
  <si>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</si>
  <si>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</si>
  <si>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</si>
  <si>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</si>
  <si>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</si>
  <si>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</si>
  <si>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</si>
  <si>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</si>
  <si>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</si>
  <si>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</si>
  <si>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</si>
  <si>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</si>
  <si>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</si>
  <si>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</si>
  <si>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</si>
  <si>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</si>
  <si>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</si>
  <si>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</si>
  <si>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</si>
  <si>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</si>
  <si>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</si>
  <si>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</si>
  <si>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</si>
  <si>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</si>
  <si>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</si>
  <si>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</si>
  <si>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</si>
  <si>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</si>
  <si>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</si>
  <si>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</si>
  <si>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</si>
  <si>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</si>
  <si>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</si>
  <si>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</si>
  <si>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</si>
  <si>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</si>
  <si>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</si>
  <si>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</si>
  <si>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</si>
  <si>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</si>
  <si>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</si>
  <si>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</si>
  <si>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</si>
  <si>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</si>
  <si>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</si>
  <si>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</si>
  <si>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</si>
  <si>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</si>
  <si>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</si>
  <si>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</si>
  <si>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</si>
  <si>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</si>
  <si>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</si>
  <si>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</si>
  <si>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</si>
  <si>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</si>
  <si>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</si>
  <si>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</si>
  <si>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</si>
  <si>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</si>
  <si>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</si>
  <si>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</si>
  <si>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</si>
  <si>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</si>
  <si>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</si>
  <si>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</si>
  <si>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</si>
  <si>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</si>
  <si>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</si>
  <si>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</si>
  <si>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</si>
  <si>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</si>
  <si>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</si>
  <si>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</si>
  <si>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</si>
  <si>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</si>
  <si>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</si>
  <si>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</si>
  <si>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</si>
  <si>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</si>
  <si>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</si>
  <si>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</si>
  <si>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</si>
  <si>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</si>
  <si>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</si>
  <si>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</si>
  <si>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</si>
  <si>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</si>
  <si>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</si>
  <si>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</si>
  <si>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</si>
  <si>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</si>
  <si>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</si>
  <si>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</si>
  <si>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</si>
  <si>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</si>
  <si>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</si>
  <si>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</si>
  <si>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</si>
  <si>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</si>
  <si>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</si>
  <si>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</si>
  <si>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</si>
  <si>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</si>
  <si>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</si>
  <si>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</si>
  <si>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</si>
  <si>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</si>
  <si>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</si>
  <si>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</si>
  <si>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</si>
  <si>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</si>
  <si>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</si>
  <si>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</si>
  <si>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</si>
  <si>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</si>
  <si>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</si>
  <si>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</si>
  <si>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</si>
  <si>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</si>
  <si>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</si>
  <si>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</si>
  <si>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</si>
  <si>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</si>
  <si>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</si>
  <si>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</si>
  <si>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</si>
  <si>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</si>
  <si>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</si>
  <si>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</si>
  <si>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</si>
  <si>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</si>
  <si>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</si>
  <si>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</si>
  <si>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</si>
  <si>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</si>
  <si>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</si>
  <si>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</si>
  <si>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</si>
  <si>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</si>
  <si>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</si>
  <si>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</si>
  <si>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</si>
  <si>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</si>
  <si>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</si>
  <si>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</si>
  <si>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</si>
  <si>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</si>
  <si>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</si>
  <si>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</si>
  <si>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</si>
  <si>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</si>
  <si>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</si>
  <si>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</si>
  <si>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</si>
  <si>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</si>
  <si>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</si>
  <si>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</si>
  <si>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</si>
  <si>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</si>
  <si>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</si>
  <si>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</si>
  <si>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</si>
  <si>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</si>
  <si>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</si>
  <si>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</si>
  <si>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</si>
  <si>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</si>
  <si>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</si>
  <si>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</si>
  <si>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</si>
  <si>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</si>
  <si>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</si>
  <si>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</si>
  <si>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</si>
  <si>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</si>
  <si>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</si>
  <si>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</si>
  <si>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</si>
  <si>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</si>
  <si>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</si>
  <si>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</si>
  <si>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</si>
  <si>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</si>
  <si>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</si>
  <si>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</si>
  <si>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</si>
  <si>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</si>
  <si>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</si>
  <si>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</si>
  <si>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</si>
  <si>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</si>
  <si>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</si>
  <si>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</si>
  <si>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</si>
  <si>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</si>
  <si>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</si>
  <si>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</si>
  <si>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</si>
  <si>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</si>
  <si>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</si>
  <si>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</si>
  <si>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</si>
  <si>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</si>
  <si>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</si>
  <si>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</si>
  <si>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</si>
  <si>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</si>
  <si>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</si>
  <si>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</si>
  <si>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</si>
  <si>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</si>
  <si>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</si>
  <si>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</si>
  <si>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</si>
  <si>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</si>
  <si>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</si>
  <si>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</si>
  <si>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</si>
  <si>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</si>
  <si>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</si>
  <si>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</si>
  <si>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</si>
  <si>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</si>
  <si>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</si>
  <si>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</si>
  <si>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</si>
  <si>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</si>
  <si>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</si>
  <si>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</si>
  <si>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</si>
  <si>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</si>
  <si>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</si>
  <si>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</si>
  <si>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</si>
  <si>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</si>
  <si>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</si>
  <si>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</si>
  <si>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</si>
  <si>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</si>
  <si>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</si>
  <si>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</si>
  <si>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</si>
  <si>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</si>
  <si>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</si>
  <si>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</si>
  <si>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</si>
  <si>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</si>
  <si>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</si>
  <si>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</si>
  <si>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</si>
  <si>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</si>
  <si>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</si>
  <si>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</si>
  <si>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</si>
  <si>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</si>
  <si>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</si>
  <si>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</si>
  <si>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</si>
  <si>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</si>
  <si>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</si>
  <si>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</si>
  <si>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</si>
  <si>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</si>
  <si>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</si>
  <si>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</si>
  <si>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</si>
  <si>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</si>
  <si>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</si>
  <si>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</si>
  <si>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</si>
  <si>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</si>
  <si>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</si>
  <si>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</si>
  <si>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</si>
  <si>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</si>
  <si>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</si>
  <si>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</si>
  <si>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</si>
  <si>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</si>
  <si>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</si>
  <si>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</si>
  <si>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</si>
  <si>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</si>
  <si>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</si>
  <si>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</si>
  <si>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</si>
  <si>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</si>
  <si>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</si>
  <si>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</si>
  <si>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</si>
  <si>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</si>
  <si>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</si>
  <si>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</si>
  <si>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</si>
  <si>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</si>
  <si>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</si>
  <si>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</si>
  <si>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</si>
  <si>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</si>
  <si>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</si>
  <si>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</si>
  <si>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</si>
  <si>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</si>
  <si>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</si>
  <si>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</si>
  <si>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</si>
  <si>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</si>
  <si>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</si>
  <si>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</si>
  <si>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</si>
  <si>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</si>
  <si>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</si>
  <si>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</si>
  <si>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</si>
  <si>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</si>
  <si>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</si>
  <si>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</si>
  <si>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</si>
  <si>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</si>
  <si>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</si>
  <si>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</si>
  <si>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</si>
  <si>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</si>
  <si>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</si>
  <si>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</si>
  <si>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</si>
  <si>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</si>
  <si>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</si>
  <si>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</si>
  <si>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</si>
  <si>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</si>
  <si>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</si>
  <si>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</si>
  <si>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</si>
  <si>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</si>
  <si>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</si>
  <si>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</si>
  <si>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</si>
  <si>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</si>
  <si>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</si>
  <si>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</si>
  <si>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</si>
  <si>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</si>
  <si>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</si>
  <si>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</si>
  <si>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</si>
  <si>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</si>
  <si>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</si>
  <si>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</si>
  <si>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</si>
  <si>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</si>
  <si>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</si>
  <si>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</si>
  <si>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</si>
  <si>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</si>
  <si>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</si>
  <si>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</si>
  <si>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</si>
  <si>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</si>
  <si>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</si>
  <si>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</si>
  <si>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</si>
  <si>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</si>
  <si>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</si>
  <si>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</si>
  <si>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</si>
  <si>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</si>
  <si>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</si>
  <si>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</si>
  <si>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</si>
  <si>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</si>
  <si>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</si>
  <si>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</si>
  <si>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</si>
  <si>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</si>
  <si>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</si>
  <si>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</si>
  <si>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</si>
  <si>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</si>
  <si>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</si>
  <si>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</si>
  <si>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</si>
  <si>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</si>
  <si>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</si>
  <si>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</si>
  <si>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</si>
  <si>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</si>
  <si>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</si>
  <si>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</si>
  <si>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</si>
  <si>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</si>
  <si>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</si>
  <si>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</si>
  <si>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</si>
  <si>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</si>
  <si>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</si>
  <si>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</si>
  <si>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</si>
  <si>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</si>
  <si>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</si>
  <si>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</si>
  <si>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</si>
  <si>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</si>
  <si>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</si>
  <si>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</si>
  <si>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</si>
  <si>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</si>
  <si>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</si>
  <si>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</si>
  <si>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</si>
  <si>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</si>
  <si>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</si>
  <si>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</si>
  <si>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</si>
  <si>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</si>
  <si>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</si>
  <si>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</si>
  <si>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</si>
  <si>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</si>
  <si>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</si>
  <si>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</si>
  <si>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</si>
  <si>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</si>
  <si>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</si>
  <si>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</si>
  <si>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</si>
  <si>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</si>
  <si>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</si>
  <si>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</si>
  <si>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</si>
  <si>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</si>
  <si>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</si>
  <si>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</si>
  <si>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</si>
  <si>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</si>
  <si>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</si>
  <si>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</si>
  <si>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</si>
  <si>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</si>
  <si>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</si>
  <si>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</si>
  <si>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</si>
  <si>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</si>
  <si>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</si>
  <si>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</si>
  <si>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</si>
  <si>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</si>
  <si>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</si>
  <si>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</si>
  <si>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</si>
  <si>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</si>
  <si>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</si>
  <si>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</si>
  <si>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</si>
  <si>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</si>
  <si>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</si>
  <si>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</si>
  <si>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</si>
  <si>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</si>
  <si>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</si>
  <si>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</si>
  <si>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</si>
  <si>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</si>
  <si>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</si>
  <si>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</si>
  <si>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</si>
  <si>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</si>
  <si>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</si>
  <si>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</si>
  <si>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</si>
  <si>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</si>
  <si>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</si>
  <si>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</si>
  <si>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</si>
  <si>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</si>
  <si>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</si>
  <si>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</si>
  <si>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</si>
  <si>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</si>
  <si>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</si>
  <si>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</si>
  <si>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</si>
  <si>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</si>
  <si>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</si>
  <si>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</si>
  <si>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</si>
  <si>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</si>
  <si>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</si>
  <si>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</si>
  <si>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</si>
  <si>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</si>
  <si>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</si>
  <si>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</si>
  <si>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</si>
  <si>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</si>
  <si>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</si>
  <si>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</si>
  <si>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</si>
  <si>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</si>
  <si>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</si>
  <si>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</si>
  <si>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</si>
  <si>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</si>
  <si>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</si>
  <si>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</si>
  <si>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</si>
  <si>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</si>
  <si>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</si>
  <si>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</si>
  <si>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</si>
  <si>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</si>
  <si>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</si>
  <si>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</si>
  <si>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</si>
  <si>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</si>
  <si>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</si>
  <si>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</si>
  <si>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</si>
  <si>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</si>
  <si>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</si>
  <si>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</si>
  <si>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</si>
  <si>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</si>
  <si>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</si>
  <si>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</si>
  <si>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</si>
  <si>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</si>
  <si>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</si>
  <si>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</si>
  <si>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</si>
  <si>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</si>
  <si>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</si>
  <si>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</si>
  <si>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</si>
  <si>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</si>
  <si>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</si>
  <si>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</si>
  <si>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</si>
  <si>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</si>
  <si>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</si>
  <si>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</si>
  <si>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</si>
  <si>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</si>
  <si>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</si>
  <si>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</si>
  <si>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</si>
  <si>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</si>
  <si>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</si>
  <si>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</si>
  <si>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</si>
  <si>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</si>
  <si>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</si>
  <si>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</si>
  <si>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</si>
  <si>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</si>
  <si>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</si>
  <si>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</si>
  <si>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</si>
  <si>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</si>
  <si>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</si>
  <si>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</si>
  <si>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</si>
  <si>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</si>
  <si>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</si>
  <si>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</si>
  <si>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</si>
  <si>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</si>
  <si>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</si>
  <si>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</si>
  <si>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</si>
  <si>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</si>
  <si>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</si>
  <si>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</si>
  <si>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</si>
  <si>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</si>
  <si>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</si>
  <si>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</si>
  <si>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</si>
  <si>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</si>
  <si>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</si>
  <si>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</si>
  <si>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</si>
  <si>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</si>
  <si>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</si>
  <si>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</si>
  <si>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</si>
  <si>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</si>
  <si>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</si>
  <si>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</si>
  <si>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</si>
  <si>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</si>
  <si>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</si>
  <si>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</si>
  <si>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</si>
  <si>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</si>
  <si>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</si>
  <si>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</si>
  <si>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</si>
  <si>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</si>
  <si>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</si>
  <si>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</si>
  <si>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</si>
  <si>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</si>
  <si>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</si>
  <si>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</si>
  <si>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</si>
  <si>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</si>
  <si>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</si>
  <si>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</si>
  <si>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</si>
  <si>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</si>
  <si>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</si>
  <si>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</si>
  <si>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</si>
  <si>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</si>
  <si>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</si>
  <si>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</si>
  <si>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</si>
  <si>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</si>
  <si>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</si>
  <si>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</si>
  <si>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</si>
  <si>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</si>
  <si>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</si>
  <si>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</si>
  <si>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</si>
  <si>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</si>
  <si>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</si>
  <si>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</si>
  <si>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</si>
  <si>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</si>
  <si>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</si>
  <si>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</si>
  <si>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</si>
  <si>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</si>
  <si>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</si>
  <si>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</si>
  <si>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</si>
  <si>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</si>
  <si>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</si>
  <si>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</si>
  <si>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</si>
  <si>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</si>
  <si>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</si>
  <si>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</si>
  <si>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</si>
  <si>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</si>
  <si>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</si>
  <si>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</si>
  <si>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</si>
  <si>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</si>
  <si>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</si>
  <si>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</si>
  <si>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</si>
  <si>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</si>
  <si>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</si>
  <si>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</si>
  <si>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</si>
  <si>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</si>
  <si>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</si>
  <si>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</si>
  <si>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</si>
  <si>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</si>
  <si>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</si>
  <si>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</si>
  <si>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</si>
  <si>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</si>
  <si>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</si>
  <si>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</si>
  <si>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</si>
  <si>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</si>
  <si>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</si>
  <si>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</si>
  <si>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</si>
  <si>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</si>
  <si>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</si>
  <si>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</si>
  <si>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</si>
  <si>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</si>
  <si>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</si>
  <si>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</si>
  <si>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</si>
  <si>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</si>
  <si>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</si>
  <si>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</si>
  <si>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</si>
  <si>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</si>
  <si>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</si>
  <si>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</si>
  <si>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</si>
  <si>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</si>
  <si>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</si>
  <si>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</si>
  <si>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</si>
  <si>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</si>
  <si>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</si>
  <si>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</si>
  <si>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</si>
  <si>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</si>
  <si>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</si>
  <si>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</si>
  <si>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</si>
  <si>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</si>
  <si>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</si>
  <si>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</si>
  <si>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</si>
  <si>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</si>
  <si>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</si>
  <si>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</si>
  <si>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</si>
  <si>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</si>
  <si>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</si>
  <si>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</si>
  <si>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</si>
  <si>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</si>
  <si>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</si>
  <si>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</si>
  <si>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</si>
  <si>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</si>
  <si>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</si>
  <si>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</si>
  <si>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</si>
  <si>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</si>
  <si>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</si>
  <si>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</si>
  <si>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</si>
  <si>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</si>
  <si>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</si>
  <si>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</si>
  <si>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</si>
  <si>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</si>
  <si>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</si>
  <si>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</si>
  <si>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</si>
  <si>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</si>
  <si>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</si>
  <si>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</si>
  <si>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</si>
  <si>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</si>
  <si>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</si>
  <si>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</si>
  <si>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</si>
  <si>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</si>
  <si>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</si>
  <si>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</si>
  <si>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</si>
  <si>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</si>
  <si>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</si>
  <si>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</si>
  <si>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</si>
  <si>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</si>
  <si>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</si>
  <si>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</si>
  <si>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</si>
  <si>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</si>
  <si>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</si>
  <si>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</si>
  <si>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</si>
  <si>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</si>
  <si>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</si>
  <si>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</si>
  <si>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</si>
  <si>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</si>
  <si>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</si>
  <si>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</si>
  <si>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</si>
  <si>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</si>
  <si>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</si>
  <si>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</si>
  <si>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</si>
  <si>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</si>
  <si>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</si>
  <si>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</si>
  <si>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</si>
  <si>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</si>
  <si>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</si>
  <si>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</si>
  <si>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</si>
  <si>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</si>
  <si>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</si>
  <si>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</si>
  <si>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</si>
  <si>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</si>
  <si>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</si>
  <si>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</si>
  <si>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</si>
  <si>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</si>
  <si>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</si>
  <si>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</si>
  <si>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</si>
  <si>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</si>
  <si>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</si>
  <si>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</si>
  <si>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</si>
  <si>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</si>
  <si>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</si>
  <si>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</si>
  <si>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</si>
  <si>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</si>
  <si>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</si>
  <si>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</si>
  <si>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</si>
  <si>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</si>
  <si>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</si>
  <si>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</si>
  <si>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</si>
  <si>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</si>
  <si>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</si>
  <si>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</si>
  <si>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</si>
  <si>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</si>
  <si>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</si>
  <si>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</si>
  <si>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</si>
  <si>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</si>
  <si>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</si>
  <si>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</si>
  <si>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</si>
  <si>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</si>
  <si>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</si>
  <si>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</si>
  <si>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</si>
  <si>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</si>
  <si>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</si>
  <si>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</si>
  <si>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</si>
  <si>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</si>
  <si>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</si>
  <si>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</si>
  <si>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</si>
  <si>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</si>
  <si>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</si>
  <si>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</si>
  <si>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</si>
  <si>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</si>
  <si>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</si>
  <si>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</si>
  <si>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</si>
  <si>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</si>
  <si>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</si>
  <si>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</si>
  <si>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</si>
  <si>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</si>
  <si>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</si>
  <si>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</si>
  <si>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</si>
  <si>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</si>
  <si>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</si>
  <si>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</si>
  <si>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</si>
  <si>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</si>
  <si>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</si>
  <si>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</si>
  <si>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</si>
  <si>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</si>
  <si>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</si>
  <si>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</si>
  <si>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</si>
  <si>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</si>
  <si>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</si>
  <si>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</si>
  <si>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</si>
  <si>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</si>
  <si>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</si>
  <si>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</si>
  <si>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</si>
  <si>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</si>
  <si>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</si>
  <si>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</si>
  <si>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</si>
  <si>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</si>
  <si>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</si>
  <si>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</si>
  <si>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</si>
  <si>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</si>
  <si>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</si>
  <si>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</si>
  <si>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</si>
  <si>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</si>
  <si>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</si>
  <si>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</si>
  <si>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</si>
  <si>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</si>
  <si>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</si>
  <si>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</si>
  <si>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</si>
  <si>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</si>
  <si>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</si>
  <si>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</si>
  <si>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</si>
  <si>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</si>
  <si>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</si>
  <si>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</si>
  <si>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</si>
  <si>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</si>
  <si>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</si>
  <si>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</si>
  <si>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</si>
  <si>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</si>
  <si>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</si>
  <si>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</si>
  <si>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</si>
  <si>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</si>
  <si>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</si>
  <si>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</si>
  <si>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</si>
  <si>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</si>
  <si>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</si>
  <si>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</si>
  <si>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</si>
  <si>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</si>
  <si>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</si>
  <si>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</si>
  <si>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</si>
  <si>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</si>
  <si>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</si>
  <si>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</si>
  <si>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</si>
  <si>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</si>
  <si>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</si>
  <si>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</si>
  <si>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</si>
  <si>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</si>
  <si>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</si>
  <si>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</si>
  <si>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</si>
  <si>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</si>
  <si>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</si>
  <si>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</si>
  <si>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</si>
  <si>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</si>
  <si>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</si>
  <si>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</si>
  <si>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</si>
  <si>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</si>
  <si>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</si>
  <si>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</si>
  <si>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</si>
  <si>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</si>
  <si>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</si>
  <si>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</si>
  <si>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</si>
  <si>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</si>
  <si>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</si>
  <si>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</si>
  <si>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</si>
  <si>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</si>
  <si>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</si>
  <si>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</si>
  <si>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</si>
  <si>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</si>
  <si>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</si>
  <si>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</si>
  <si>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</si>
  <si>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</si>
  <si>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</si>
  <si>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</si>
  <si>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</si>
  <si>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</si>
  <si>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</si>
  <si>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</si>
  <si>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</si>
  <si>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</si>
  <si>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</si>
  <si>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</si>
  <si>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</si>
  <si>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</si>
  <si>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</si>
  <si>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</si>
  <si>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</si>
  <si>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</si>
  <si>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</si>
  <si>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</si>
  <si>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</si>
  <si>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</si>
  <si>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</si>
  <si>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</si>
  <si>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</si>
  <si>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</si>
  <si>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</si>
  <si>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</si>
  <si>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</si>
  <si>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</si>
  <si>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</si>
  <si>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</si>
  <si>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</si>
  <si>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</si>
  <si>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</si>
  <si>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</si>
  <si>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</si>
  <si>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</si>
  <si>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</si>
  <si>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</si>
  <si>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</si>
  <si>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</si>
  <si>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</si>
  <si>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</si>
  <si>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</si>
  <si>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</si>
  <si>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</si>
  <si>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</si>
  <si>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</si>
  <si>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</si>
  <si>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</si>
  <si>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</si>
  <si>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</si>
  <si>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</si>
  <si>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</si>
  <si>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</si>
  <si>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</si>
  <si>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</si>
  <si>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</si>
  <si>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</si>
  <si>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</si>
  <si>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</si>
  <si>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</si>
  <si>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</si>
  <si>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</si>
  <si>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</si>
  <si>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</si>
  <si>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</si>
  <si>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</si>
  <si>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</si>
  <si>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</si>
  <si>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</si>
  <si>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</si>
  <si>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</si>
  <si>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</si>
  <si>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</si>
  <si>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>Sub-Category</t>
  </si>
  <si>
    <t>Row Labels</t>
  </si>
  <si>
    <t>Grand Total</t>
  </si>
  <si>
    <t>FALSE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</si>
  <si>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</si>
  <si>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</si>
  <si>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</si>
  <si>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</si>
  <si>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</si>
  <si>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</si>
  <si>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</si>
  <si>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</si>
  <si>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</si>
  <si>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</si>
  <si>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</si>
  <si>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</si>
  <si>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</si>
  <si>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</si>
  <si>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</si>
  <si>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</si>
  <si>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</si>
  <si>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</si>
  <si>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</si>
  <si>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</si>
  <si>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</si>
  <si>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</si>
  <si>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</si>
  <si>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</si>
  <si>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</si>
  <si>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</si>
  <si>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</si>
  <si>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</si>
  <si>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</si>
  <si>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</si>
  <si>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</si>
  <si>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</si>
  <si>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</si>
  <si>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</si>
  <si>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</si>
  <si>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</si>
  <si>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</si>
  <si>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</si>
  <si>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</si>
  <si>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</si>
  <si>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</si>
  <si>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</si>
  <si>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</si>
  <si>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</si>
  <si>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</si>
  <si>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</si>
  <si>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</si>
  <si>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</si>
  <si>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</si>
  <si>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</si>
  <si>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Column Labels</t>
  </si>
  <si>
    <t>Count of currency</t>
  </si>
  <si>
    <t>(All)</t>
  </si>
  <si>
    <t>(blank)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</si>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</sst>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</cellXfs>
  <cellStyles count="2">
    <cellStyle name="Normal" xfId="0" builtinId="0"/>
    <cellStyle name="Percent" xfId="1" builtinId="5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01608"/>
        </patternFill>
      </fill>
    </dxf>
    <dxf>
      <fill>
        <patternFill>
          <bgColor rgb="FF00B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colors>
    <mruColors>
      <color rgb="FFD0160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[StarterBook homework.xlsx]Sheet2!PivotTable4</c:name>
    <c:fmtId val="5"/>
  </c:pivotSource>
  <c:chart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5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FALSE</c:v>
                </c:pt>
              </c:strCache>
            </c:strRef>
          </c:cat>
          <c:val>
            <c:numRef>
              <c:f>Sheet2!$B$5:$B$15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33-489B-9D28-7CD46013153D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FALSE</c:v>
                </c:pt>
              </c:strCache>
            </c:strRef>
          </c:cat>
          <c:val>
            <c:numRef>
              <c:f>Sheet2!$C$5:$C$15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473</c:v>
                </c:pt>
                <c:pt idx="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33-489B-9D28-7CD46013153D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FALSE</c:v>
                </c:pt>
              </c:strCache>
            </c:strRef>
          </c:cat>
          <c:val>
            <c:numRef>
              <c:f>Sheet2!$D$5:$D$15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33-489B-9D28-7CD46013153D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FALSE</c:v>
                </c:pt>
              </c:strCache>
            </c:strRef>
          </c:cat>
          <c:val>
            <c:numRef>
              <c:f>Sheet2!$E$5:$E$15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33-489B-9D28-7CD460131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9693464"/>
        <c:axId val="669694448"/>
      </c:barChart>
      <c:catAx>
        <c:axId val="669693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694448"/>
        <c:crosses val="autoZero"/>
        <c:auto val="1"/>
        <c:lblAlgn val="ctr"/>
        <c:lblOffset val="100"/>
        <c:noMultiLvlLbl val="0"/>
      </c:catAx>
      <c:valAx>
        <c:axId val="66969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693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[StarterBook homework.xlsx]Sheet3!PivotTable8</c:name>
    <c:fmtId val="2"/>
  </c:pivotSource>
  <c:chart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5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FALSE</c:v>
                </c:pt>
              </c:strCache>
            </c:strRef>
          </c:cat>
          <c:val>
            <c:numRef>
              <c:f>Sheet3!$B$6:$B$48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86-4A9C-9BC9-950ABE04686A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FALSE</c:v>
                </c:pt>
              </c:strCache>
            </c:strRef>
          </c:cat>
          <c:val>
            <c:numRef>
              <c:f>Sheet3!$C$6:$C$48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40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  <c:pt idx="4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86-4A9C-9BC9-950ABE04686A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FALSE</c:v>
                </c:pt>
              </c:strCache>
            </c:strRef>
          </c:cat>
          <c:val>
            <c:numRef>
              <c:f>Sheet3!$D$6:$D$48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86-4A9C-9BC9-950ABE04686A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FALSE</c:v>
                </c:pt>
              </c:strCache>
            </c:strRef>
          </c:cat>
          <c:val>
            <c:numRef>
              <c:f>Sheet3!$E$6:$E$48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86-4A9C-9BC9-950ABE046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4337952"/>
        <c:axId val="674336640"/>
      </c:barChart>
      <c:catAx>
        <c:axId val="674337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336640"/>
        <c:crosses val="autoZero"/>
        <c:auto val="1"/>
        <c:lblAlgn val="ctr"/>
        <c:lblOffset val="100"/>
        <c:noMultiLvlLbl val="0"/>
      </c:catAx>
      <c:valAx>
        <c:axId val="67433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337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homework.xlsx]Sheet4!PivotTable9</c:name>
    <c:fmtId val="8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Sheet4!$B$7:$B$20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44</c:v>
                </c:pt>
                <c:pt idx="8">
                  <c:v>32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EC-4E04-80F0-CD1B5C935EEF}"/>
            </c:ext>
          </c:extLst>
        </c:ser>
        <c:ser>
          <c:idx val="1"/>
          <c:order val="1"/>
          <c:tx>
            <c:strRef>
              <c:f>Sheet4!$C$5:$C$6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Sheet4!$C$7:$C$20</c:f>
              <c:numCache>
                <c:formatCode>General</c:formatCode>
                <c:ptCount val="13"/>
                <c:pt idx="1">
                  <c:v>149</c:v>
                </c:pt>
                <c:pt idx="2">
                  <c:v>105</c:v>
                </c:pt>
                <c:pt idx="3">
                  <c:v>108</c:v>
                </c:pt>
                <c:pt idx="4">
                  <c:v>103</c:v>
                </c:pt>
                <c:pt idx="5">
                  <c:v>126</c:v>
                </c:pt>
                <c:pt idx="6">
                  <c:v>148</c:v>
                </c:pt>
                <c:pt idx="7">
                  <c:v>148</c:v>
                </c:pt>
                <c:pt idx="8">
                  <c:v>134</c:v>
                </c:pt>
                <c:pt idx="9">
                  <c:v>127</c:v>
                </c:pt>
                <c:pt idx="10">
                  <c:v>150</c:v>
                </c:pt>
                <c:pt idx="11">
                  <c:v>113</c:v>
                </c:pt>
                <c:pt idx="12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EC-4E04-80F0-CD1B5C935EEF}"/>
            </c:ext>
          </c:extLst>
        </c:ser>
        <c:ser>
          <c:idx val="2"/>
          <c:order val="2"/>
          <c:tx>
            <c:strRef>
              <c:f>Sheet4!$D$5:$D$6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Sheet4!$D$7:$D$20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EC-4E04-80F0-CD1B5C935EEF}"/>
            </c:ext>
          </c:extLst>
        </c:ser>
        <c:ser>
          <c:idx val="3"/>
          <c:order val="3"/>
          <c:tx>
            <c:strRef>
              <c:f>Sheet4!$E$5:$E$6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Sheet4!$E$7:$E$20</c:f>
              <c:numCache>
                <c:formatCode>General</c:formatCode>
                <c:ptCount val="13"/>
                <c:pt idx="1">
                  <c:v>183</c:v>
                </c:pt>
                <c:pt idx="2">
                  <c:v>202</c:v>
                </c:pt>
                <c:pt idx="3">
                  <c:v>179</c:v>
                </c:pt>
                <c:pt idx="4">
                  <c:v>193</c:v>
                </c:pt>
                <c:pt idx="5">
                  <c:v>233</c:v>
                </c:pt>
                <c:pt idx="6">
                  <c:v>213</c:v>
                </c:pt>
                <c:pt idx="7">
                  <c:v>192</c:v>
                </c:pt>
                <c:pt idx="8">
                  <c:v>167</c:v>
                </c:pt>
                <c:pt idx="9">
                  <c:v>148</c:v>
                </c:pt>
                <c:pt idx="10">
                  <c:v>184</c:v>
                </c:pt>
                <c:pt idx="11">
                  <c:v>180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EC-4E04-80F0-CD1B5C935EEF}"/>
            </c:ext>
          </c:extLst>
        </c:ser>
        <c:ser>
          <c:idx val="4"/>
          <c:order val="4"/>
          <c:tx>
            <c:strRef>
              <c:f>Sheet4!$F$5:$F$6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Sheet4!$A$7:$A$20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Sheet4!$F$7:$F$20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1EC-4E04-80F0-CD1B5C935E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5533280"/>
        <c:axId val="735533608"/>
      </c:lineChart>
      <c:catAx>
        <c:axId val="73553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533608"/>
        <c:crosses val="autoZero"/>
        <c:auto val="1"/>
        <c:lblAlgn val="ctr"/>
        <c:lblOffset val="100"/>
        <c:noMultiLvlLbl val="0"/>
      </c:catAx>
      <c:valAx>
        <c:axId val="73553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53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</a:t>
            </a:r>
            <a:r>
              <a:rPr lang="en-US" baseline="0"/>
              <a:t> Starter</a:t>
            </a:r>
            <a:endParaRPr lang="en-US"/>
          </a:p>
        </c:rich>
      </c:tx>
      <c:layout>
        <c:manualLayout>
          <c:xMode val="edge"/>
          <c:yMode val="edge"/>
          <c:x val="0.40949300087489071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Sheet5!$B$2</c:f>
              <c:strCache>
                <c:ptCount val="1"/>
                <c:pt idx="0">
                  <c:v>Less than 1000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Sheet5!$C$1:$I$1</c:f>
              <c:strCache>
                <c:ptCount val="7"/>
                <c:pt idx="0">
                  <c:v>Number Successful</c:v>
                </c:pt>
                <c:pt idx="1">
                  <c:v>Number Failed</c:v>
                </c:pt>
                <c:pt idx="2">
                  <c:v>Number Canceled</c:v>
                </c:pt>
                <c:pt idx="3">
                  <c:v>Total Projects</c:v>
                </c:pt>
                <c:pt idx="4">
                  <c:v>Percentage Successful</c:v>
                </c:pt>
                <c:pt idx="5">
                  <c:v>Percentage Failed</c:v>
                </c:pt>
                <c:pt idx="6">
                  <c:v>Percentage Canceled</c:v>
                </c:pt>
              </c:strCache>
            </c:strRef>
          </c:cat>
          <c:val>
            <c:numRef>
              <c:f>Sheet5!$C$2:$I$2</c:f>
              <c:numCache>
                <c:formatCode>General</c:formatCode>
                <c:ptCount val="7"/>
                <c:pt idx="0">
                  <c:v>322</c:v>
                </c:pt>
                <c:pt idx="1">
                  <c:v>113</c:v>
                </c:pt>
                <c:pt idx="2">
                  <c:v>18</c:v>
                </c:pt>
                <c:pt idx="3">
                  <c:v>453</c:v>
                </c:pt>
                <c:pt idx="4" formatCode="0%">
                  <c:v>0.71081677704194257</c:v>
                </c:pt>
                <c:pt idx="5" formatCode="0%">
                  <c:v>0.24944812362030905</c:v>
                </c:pt>
                <c:pt idx="6" formatCode="0%">
                  <c:v>3.9735099337748346E-2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18-4C3E-9494-F4AB62F8C913}"/>
            </c:ext>
          </c:extLst>
        </c:ser>
        <c:ser>
          <c:idx val="1"/>
          <c:order val="1"/>
          <c:tx>
            <c:strRef>
              <c:f>Sheet5!$B$3</c:f>
              <c:strCache>
                <c:ptCount val="1"/>
                <c:pt idx="0">
                  <c:v>1000 to 4999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Sheet5!$C$1:$I$1</c:f>
              <c:strCache>
                <c:ptCount val="7"/>
                <c:pt idx="0">
                  <c:v>Number Successful</c:v>
                </c:pt>
                <c:pt idx="1">
                  <c:v>Number Failed</c:v>
                </c:pt>
                <c:pt idx="2">
                  <c:v>Number Canceled</c:v>
                </c:pt>
                <c:pt idx="3">
                  <c:v>Total Projects</c:v>
                </c:pt>
                <c:pt idx="4">
                  <c:v>Percentage Successful</c:v>
                </c:pt>
                <c:pt idx="5">
                  <c:v>Percentage Failed</c:v>
                </c:pt>
                <c:pt idx="6">
                  <c:v>Percentage Canceled</c:v>
                </c:pt>
              </c:strCache>
            </c:strRef>
          </c:cat>
          <c:val>
            <c:numRef>
              <c:f>Sheet5!$C$3:$I$3</c:f>
              <c:numCache>
                <c:formatCode>General</c:formatCode>
                <c:ptCount val="7"/>
                <c:pt idx="0">
                  <c:v>932</c:v>
                </c:pt>
                <c:pt idx="1">
                  <c:v>420</c:v>
                </c:pt>
                <c:pt idx="2">
                  <c:v>60</c:v>
                </c:pt>
                <c:pt idx="3">
                  <c:v>1412</c:v>
                </c:pt>
                <c:pt idx="4" formatCode="0%">
                  <c:v>0.66005665722379603</c:v>
                </c:pt>
                <c:pt idx="5" formatCode="0%">
                  <c:v>0.29745042492917845</c:v>
                </c:pt>
                <c:pt idx="6" formatCode="0%">
                  <c:v>4.2492917847025496E-2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18-4C3E-9494-F4AB62F8C913}"/>
            </c:ext>
          </c:extLst>
        </c:ser>
        <c:ser>
          <c:idx val="2"/>
          <c:order val="2"/>
          <c:tx>
            <c:strRef>
              <c:f>Sheet5!$B$4</c:f>
              <c:strCache>
                <c:ptCount val="1"/>
                <c:pt idx="0">
                  <c:v>5000 to 9999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Sheet5!$C$1:$I$1</c:f>
              <c:strCache>
                <c:ptCount val="7"/>
                <c:pt idx="0">
                  <c:v>Number Successful</c:v>
                </c:pt>
                <c:pt idx="1">
                  <c:v>Number Failed</c:v>
                </c:pt>
                <c:pt idx="2">
                  <c:v>Number Canceled</c:v>
                </c:pt>
                <c:pt idx="3">
                  <c:v>Total Projects</c:v>
                </c:pt>
                <c:pt idx="4">
                  <c:v>Percentage Successful</c:v>
                </c:pt>
                <c:pt idx="5">
                  <c:v>Percentage Failed</c:v>
                </c:pt>
                <c:pt idx="6">
                  <c:v>Percentage Canceled</c:v>
                </c:pt>
              </c:strCache>
            </c:strRef>
          </c:cat>
          <c:val>
            <c:numRef>
              <c:f>Sheet5!$C$4:$I$4</c:f>
              <c:numCache>
                <c:formatCode>General</c:formatCode>
                <c:ptCount val="7"/>
                <c:pt idx="0">
                  <c:v>381</c:v>
                </c:pt>
                <c:pt idx="1">
                  <c:v>283</c:v>
                </c:pt>
                <c:pt idx="2">
                  <c:v>52</c:v>
                </c:pt>
                <c:pt idx="3">
                  <c:v>716</c:v>
                </c:pt>
                <c:pt idx="4" formatCode="0%">
                  <c:v>0.53212290502793291</c:v>
                </c:pt>
                <c:pt idx="5" formatCode="0%">
                  <c:v>0.39525139664804471</c:v>
                </c:pt>
                <c:pt idx="6" formatCode="0%">
                  <c:v>7.2625698324022353E-2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18-4C3E-9494-F4AB62F8C913}"/>
            </c:ext>
          </c:extLst>
        </c:ser>
        <c:ser>
          <c:idx val="3"/>
          <c:order val="3"/>
          <c:tx>
            <c:strRef>
              <c:f>Sheet5!$B$5</c:f>
              <c:strCache>
                <c:ptCount val="1"/>
                <c:pt idx="0">
                  <c:v>10000 to 14999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Sheet5!$C$1:$I$1</c:f>
              <c:strCache>
                <c:ptCount val="7"/>
                <c:pt idx="0">
                  <c:v>Number Successful</c:v>
                </c:pt>
                <c:pt idx="1">
                  <c:v>Number Failed</c:v>
                </c:pt>
                <c:pt idx="2">
                  <c:v>Number Canceled</c:v>
                </c:pt>
                <c:pt idx="3">
                  <c:v>Total Projects</c:v>
                </c:pt>
                <c:pt idx="4">
                  <c:v>Percentage Successful</c:v>
                </c:pt>
                <c:pt idx="5">
                  <c:v>Percentage Failed</c:v>
                </c:pt>
                <c:pt idx="6">
                  <c:v>Percentage Canceled</c:v>
                </c:pt>
              </c:strCache>
            </c:strRef>
          </c:cat>
          <c:val>
            <c:numRef>
              <c:f>Sheet5!$C$5:$I$5</c:f>
              <c:numCache>
                <c:formatCode>General</c:formatCode>
                <c:ptCount val="7"/>
                <c:pt idx="0">
                  <c:v>168</c:v>
                </c:pt>
                <c:pt idx="1">
                  <c:v>144</c:v>
                </c:pt>
                <c:pt idx="2">
                  <c:v>40</c:v>
                </c:pt>
                <c:pt idx="3">
                  <c:v>352</c:v>
                </c:pt>
                <c:pt idx="4" formatCode="0%">
                  <c:v>0.47727272727272729</c:v>
                </c:pt>
                <c:pt idx="5" formatCode="0%">
                  <c:v>0.40909090909090912</c:v>
                </c:pt>
                <c:pt idx="6" formatCode="0%">
                  <c:v>0.11363636363636363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18-4C3E-9494-F4AB62F8C913}"/>
            </c:ext>
          </c:extLst>
        </c:ser>
        <c:ser>
          <c:idx val="4"/>
          <c:order val="4"/>
          <c:tx>
            <c:strRef>
              <c:f>Sheet5!$B$6</c:f>
              <c:strCache>
                <c:ptCount val="1"/>
                <c:pt idx="0">
                  <c:v>15000 to 19999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Sheet5!$C$1:$I$1</c:f>
              <c:strCache>
                <c:ptCount val="7"/>
                <c:pt idx="0">
                  <c:v>Number Successful</c:v>
                </c:pt>
                <c:pt idx="1">
                  <c:v>Number Failed</c:v>
                </c:pt>
                <c:pt idx="2">
                  <c:v>Number Canceled</c:v>
                </c:pt>
                <c:pt idx="3">
                  <c:v>Total Projects</c:v>
                </c:pt>
                <c:pt idx="4">
                  <c:v>Percentage Successful</c:v>
                </c:pt>
                <c:pt idx="5">
                  <c:v>Percentage Failed</c:v>
                </c:pt>
                <c:pt idx="6">
                  <c:v>Percentage Canceled</c:v>
                </c:pt>
              </c:strCache>
            </c:strRef>
          </c:cat>
          <c:val>
            <c:numRef>
              <c:f>Sheet5!$C$6:$I$6</c:f>
              <c:numCache>
                <c:formatCode>General</c:formatCode>
                <c:ptCount val="7"/>
                <c:pt idx="0">
                  <c:v>94</c:v>
                </c:pt>
                <c:pt idx="1">
                  <c:v>90</c:v>
                </c:pt>
                <c:pt idx="2">
                  <c:v>17</c:v>
                </c:pt>
                <c:pt idx="3">
                  <c:v>201</c:v>
                </c:pt>
                <c:pt idx="4" formatCode="0%">
                  <c:v>0.46766169154228854</c:v>
                </c:pt>
                <c:pt idx="5" formatCode="0%">
                  <c:v>0.44776119402985076</c:v>
                </c:pt>
                <c:pt idx="6" formatCode="0%">
                  <c:v>8.45771144278607E-2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18-4C3E-9494-F4AB62F8C913}"/>
            </c:ext>
          </c:extLst>
        </c:ser>
        <c:ser>
          <c:idx val="5"/>
          <c:order val="5"/>
          <c:tx>
            <c:strRef>
              <c:f>Sheet5!$B$7</c:f>
              <c:strCache>
                <c:ptCount val="1"/>
                <c:pt idx="0">
                  <c:v>20000 to 24999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Sheet5!$C$1:$I$1</c:f>
              <c:strCache>
                <c:ptCount val="7"/>
                <c:pt idx="0">
                  <c:v>Number Successful</c:v>
                </c:pt>
                <c:pt idx="1">
                  <c:v>Number Failed</c:v>
                </c:pt>
                <c:pt idx="2">
                  <c:v>Number Canceled</c:v>
                </c:pt>
                <c:pt idx="3">
                  <c:v>Total Projects</c:v>
                </c:pt>
                <c:pt idx="4">
                  <c:v>Percentage Successful</c:v>
                </c:pt>
                <c:pt idx="5">
                  <c:v>Percentage Failed</c:v>
                </c:pt>
                <c:pt idx="6">
                  <c:v>Percentage Canceled</c:v>
                </c:pt>
              </c:strCache>
            </c:strRef>
          </c:cat>
          <c:val>
            <c:numRef>
              <c:f>Sheet5!$C$7:$I$7</c:f>
              <c:numCache>
                <c:formatCode>General</c:formatCode>
                <c:ptCount val="7"/>
                <c:pt idx="0">
                  <c:v>62</c:v>
                </c:pt>
                <c:pt idx="1">
                  <c:v>72</c:v>
                </c:pt>
                <c:pt idx="2">
                  <c:v>14</c:v>
                </c:pt>
                <c:pt idx="3">
                  <c:v>148</c:v>
                </c:pt>
                <c:pt idx="4" formatCode="0%">
                  <c:v>0.41891891891891891</c:v>
                </c:pt>
                <c:pt idx="5" formatCode="0%">
                  <c:v>0.48648648648648651</c:v>
                </c:pt>
                <c:pt idx="6" formatCode="0%">
                  <c:v>9.45945945945946E-2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18-4C3E-9494-F4AB62F8C913}"/>
            </c:ext>
          </c:extLst>
        </c:ser>
        <c:ser>
          <c:idx val="6"/>
          <c:order val="6"/>
          <c:tx>
            <c:strRef>
              <c:f>Sheet5!$B$8</c:f>
              <c:strCache>
                <c:ptCount val="1"/>
                <c:pt idx="0">
                  <c:v>25000 to 29999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Sheet5!$C$1:$I$1</c:f>
              <c:strCache>
                <c:ptCount val="7"/>
                <c:pt idx="0">
                  <c:v>Number Successful</c:v>
                </c:pt>
                <c:pt idx="1">
                  <c:v>Number Failed</c:v>
                </c:pt>
                <c:pt idx="2">
                  <c:v>Number Canceled</c:v>
                </c:pt>
                <c:pt idx="3">
                  <c:v>Total Projects</c:v>
                </c:pt>
                <c:pt idx="4">
                  <c:v>Percentage Successful</c:v>
                </c:pt>
                <c:pt idx="5">
                  <c:v>Percentage Failed</c:v>
                </c:pt>
                <c:pt idx="6">
                  <c:v>Percentage Canceled</c:v>
                </c:pt>
              </c:strCache>
            </c:strRef>
          </c:cat>
          <c:val>
            <c:numRef>
              <c:f>Sheet5!$C$8:$I$8</c:f>
              <c:numCache>
                <c:formatCode>General</c:formatCode>
                <c:ptCount val="7"/>
                <c:pt idx="0">
                  <c:v>55</c:v>
                </c:pt>
                <c:pt idx="1">
                  <c:v>64</c:v>
                </c:pt>
                <c:pt idx="2">
                  <c:v>18</c:v>
                </c:pt>
                <c:pt idx="3">
                  <c:v>137</c:v>
                </c:pt>
                <c:pt idx="4" formatCode="0%">
                  <c:v>0.40145985401459855</c:v>
                </c:pt>
                <c:pt idx="5" formatCode="0%">
                  <c:v>0.46715328467153283</c:v>
                </c:pt>
                <c:pt idx="6" formatCode="0%">
                  <c:v>0.13138686131386862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318-4C3E-9494-F4AB62F8C913}"/>
            </c:ext>
          </c:extLst>
        </c:ser>
        <c:ser>
          <c:idx val="7"/>
          <c:order val="7"/>
          <c:tx>
            <c:strRef>
              <c:f>Sheet5!$B$9</c:f>
              <c:strCache>
                <c:ptCount val="1"/>
                <c:pt idx="0">
                  <c:v>30000 to 34999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Sheet5!$C$1:$I$1</c:f>
              <c:strCache>
                <c:ptCount val="7"/>
                <c:pt idx="0">
                  <c:v>Number Successful</c:v>
                </c:pt>
                <c:pt idx="1">
                  <c:v>Number Failed</c:v>
                </c:pt>
                <c:pt idx="2">
                  <c:v>Number Canceled</c:v>
                </c:pt>
                <c:pt idx="3">
                  <c:v>Total Projects</c:v>
                </c:pt>
                <c:pt idx="4">
                  <c:v>Percentage Successful</c:v>
                </c:pt>
                <c:pt idx="5">
                  <c:v>Percentage Failed</c:v>
                </c:pt>
                <c:pt idx="6">
                  <c:v>Percentage Canceled</c:v>
                </c:pt>
              </c:strCache>
            </c:strRef>
          </c:cat>
          <c:val>
            <c:numRef>
              <c:f>Sheet5!$C$9:$I$9</c:f>
              <c:numCache>
                <c:formatCode>General</c:formatCode>
                <c:ptCount val="7"/>
                <c:pt idx="0">
                  <c:v>32</c:v>
                </c:pt>
                <c:pt idx="1">
                  <c:v>37</c:v>
                </c:pt>
                <c:pt idx="2">
                  <c:v>13</c:v>
                </c:pt>
                <c:pt idx="3">
                  <c:v>82</c:v>
                </c:pt>
                <c:pt idx="4" formatCode="0%">
                  <c:v>0.3902439024390244</c:v>
                </c:pt>
                <c:pt idx="5" formatCode="0%">
                  <c:v>0.45121951219512196</c:v>
                </c:pt>
                <c:pt idx="6" formatCode="0%">
                  <c:v>0.15853658536585366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318-4C3E-9494-F4AB62F8C913}"/>
            </c:ext>
          </c:extLst>
        </c:ser>
        <c:ser>
          <c:idx val="8"/>
          <c:order val="8"/>
          <c:tx>
            <c:strRef>
              <c:f>Sheet5!$B$10</c:f>
              <c:strCache>
                <c:ptCount val="1"/>
                <c:pt idx="0">
                  <c:v>35000 to 39999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Sheet5!$C$1:$I$1</c:f>
              <c:strCache>
                <c:ptCount val="7"/>
                <c:pt idx="0">
                  <c:v>Number Successful</c:v>
                </c:pt>
                <c:pt idx="1">
                  <c:v>Number Failed</c:v>
                </c:pt>
                <c:pt idx="2">
                  <c:v>Number Canceled</c:v>
                </c:pt>
                <c:pt idx="3">
                  <c:v>Total Projects</c:v>
                </c:pt>
                <c:pt idx="4">
                  <c:v>Percentage Successful</c:v>
                </c:pt>
                <c:pt idx="5">
                  <c:v>Percentage Failed</c:v>
                </c:pt>
                <c:pt idx="6">
                  <c:v>Percentage Canceled</c:v>
                </c:pt>
              </c:strCache>
            </c:strRef>
          </c:cat>
          <c:val>
            <c:numRef>
              <c:f>Sheet5!$C$10:$I$10</c:f>
              <c:numCache>
                <c:formatCode>General</c:formatCode>
                <c:ptCount val="7"/>
                <c:pt idx="0">
                  <c:v>26</c:v>
                </c:pt>
                <c:pt idx="1">
                  <c:v>22</c:v>
                </c:pt>
                <c:pt idx="2">
                  <c:v>7</c:v>
                </c:pt>
                <c:pt idx="3">
                  <c:v>55</c:v>
                </c:pt>
                <c:pt idx="4" formatCode="0%">
                  <c:v>0.47272727272727272</c:v>
                </c:pt>
                <c:pt idx="5" formatCode="0%">
                  <c:v>0.4</c:v>
                </c:pt>
                <c:pt idx="6" formatCode="0%">
                  <c:v>0.12727272727272726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318-4C3E-9494-F4AB62F8C913}"/>
            </c:ext>
          </c:extLst>
        </c:ser>
        <c:ser>
          <c:idx val="9"/>
          <c:order val="9"/>
          <c:tx>
            <c:strRef>
              <c:f>Sheet5!$B$11</c:f>
              <c:strCache>
                <c:ptCount val="1"/>
                <c:pt idx="0">
                  <c:v>40000 to 44999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Sheet5!$C$1:$I$1</c:f>
              <c:strCache>
                <c:ptCount val="7"/>
                <c:pt idx="0">
                  <c:v>Number Successful</c:v>
                </c:pt>
                <c:pt idx="1">
                  <c:v>Number Failed</c:v>
                </c:pt>
                <c:pt idx="2">
                  <c:v>Number Canceled</c:v>
                </c:pt>
                <c:pt idx="3">
                  <c:v>Total Projects</c:v>
                </c:pt>
                <c:pt idx="4">
                  <c:v>Percentage Successful</c:v>
                </c:pt>
                <c:pt idx="5">
                  <c:v>Percentage Failed</c:v>
                </c:pt>
                <c:pt idx="6">
                  <c:v>Percentage Canceled</c:v>
                </c:pt>
              </c:strCache>
            </c:strRef>
          </c:cat>
          <c:val>
            <c:numRef>
              <c:f>Sheet5!$C$11:$I$11</c:f>
              <c:numCache>
                <c:formatCode>General</c:formatCode>
                <c:ptCount val="7"/>
                <c:pt idx="0">
                  <c:v>21</c:v>
                </c:pt>
                <c:pt idx="1">
                  <c:v>16</c:v>
                </c:pt>
                <c:pt idx="2">
                  <c:v>6</c:v>
                </c:pt>
                <c:pt idx="3">
                  <c:v>43</c:v>
                </c:pt>
                <c:pt idx="4" formatCode="0%">
                  <c:v>0.48837209302325579</c:v>
                </c:pt>
                <c:pt idx="5" formatCode="0%">
                  <c:v>0.37209302325581395</c:v>
                </c:pt>
                <c:pt idx="6" formatCode="0%">
                  <c:v>0.13953488372093023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318-4C3E-9494-F4AB62F8C913}"/>
            </c:ext>
          </c:extLst>
        </c:ser>
        <c:ser>
          <c:idx val="10"/>
          <c:order val="10"/>
          <c:tx>
            <c:strRef>
              <c:f>Sheet5!$B$12</c:f>
              <c:strCache>
                <c:ptCount val="1"/>
                <c:pt idx="0">
                  <c:v>45000 to 49999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Sheet5!$C$1:$I$1</c:f>
              <c:strCache>
                <c:ptCount val="7"/>
                <c:pt idx="0">
                  <c:v>Number Successful</c:v>
                </c:pt>
                <c:pt idx="1">
                  <c:v>Number Failed</c:v>
                </c:pt>
                <c:pt idx="2">
                  <c:v>Number Canceled</c:v>
                </c:pt>
                <c:pt idx="3">
                  <c:v>Total Projects</c:v>
                </c:pt>
                <c:pt idx="4">
                  <c:v>Percentage Successful</c:v>
                </c:pt>
                <c:pt idx="5">
                  <c:v>Percentage Failed</c:v>
                </c:pt>
                <c:pt idx="6">
                  <c:v>Percentage Canceled</c:v>
                </c:pt>
              </c:strCache>
            </c:strRef>
          </c:cat>
          <c:val>
            <c:numRef>
              <c:f>Sheet5!$C$12:$I$12</c:f>
              <c:numCache>
                <c:formatCode>General</c:formatCode>
                <c:ptCount val="7"/>
                <c:pt idx="0">
                  <c:v>6</c:v>
                </c:pt>
                <c:pt idx="1">
                  <c:v>11</c:v>
                </c:pt>
                <c:pt idx="2">
                  <c:v>4</c:v>
                </c:pt>
                <c:pt idx="3">
                  <c:v>21</c:v>
                </c:pt>
                <c:pt idx="4" formatCode="0%">
                  <c:v>0.2857142857142857</c:v>
                </c:pt>
                <c:pt idx="5" formatCode="0%">
                  <c:v>0.52380952380952384</c:v>
                </c:pt>
                <c:pt idx="6" formatCode="0%">
                  <c:v>0.19047619047619047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318-4C3E-9494-F4AB62F8C913}"/>
            </c:ext>
          </c:extLst>
        </c:ser>
        <c:ser>
          <c:idx val="11"/>
          <c:order val="11"/>
          <c:tx>
            <c:strRef>
              <c:f>Sheet5!$B$13</c:f>
              <c:strCache>
                <c:ptCount val="1"/>
                <c:pt idx="0">
                  <c:v>Greater than or equal to 50000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Sheet5!$C$1:$I$1</c:f>
              <c:strCache>
                <c:ptCount val="7"/>
                <c:pt idx="0">
                  <c:v>Number Successful</c:v>
                </c:pt>
                <c:pt idx="1">
                  <c:v>Number Failed</c:v>
                </c:pt>
                <c:pt idx="2">
                  <c:v>Number Canceled</c:v>
                </c:pt>
                <c:pt idx="3">
                  <c:v>Total Projects</c:v>
                </c:pt>
                <c:pt idx="4">
                  <c:v>Percentage Successful</c:v>
                </c:pt>
                <c:pt idx="5">
                  <c:v>Percentage Failed</c:v>
                </c:pt>
                <c:pt idx="6">
                  <c:v>Percentage Canceled</c:v>
                </c:pt>
              </c:strCache>
            </c:strRef>
          </c:cat>
          <c:val>
            <c:numRef>
              <c:f>Sheet5!$C$13:$I$13</c:f>
              <c:numCache>
                <c:formatCode>General</c:formatCode>
                <c:ptCount val="7"/>
                <c:pt idx="0">
                  <c:v>86</c:v>
                </c:pt>
                <c:pt idx="1">
                  <c:v>258</c:v>
                </c:pt>
                <c:pt idx="2">
                  <c:v>100</c:v>
                </c:pt>
                <c:pt idx="3">
                  <c:v>444</c:v>
                </c:pt>
                <c:pt idx="4" formatCode="0%">
                  <c:v>0.19369369369369369</c:v>
                </c:pt>
                <c:pt idx="5" formatCode="0%">
                  <c:v>0.58108108108108103</c:v>
                </c:pt>
                <c:pt idx="6" formatCode="0%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318-4C3E-9494-F4AB62F8C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6397664"/>
        <c:axId val="656389464"/>
      </c:lineChart>
      <c:catAx>
        <c:axId val="656397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389464"/>
        <c:crosses val="autoZero"/>
        <c:auto val="1"/>
        <c:lblAlgn val="ctr"/>
        <c:lblOffset val="100"/>
        <c:noMultiLvlLbl val="0"/>
      </c:catAx>
      <c:valAx>
        <c:axId val="656389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397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226105</xdr:colOff>
      <xdr:row>1</xdr:row>
      <xdr:rowOff>143453</xdr:rowOff>
    </xdr:from>
    <xdr:to>
      <xdr:col>16</xdr:col>
      <xdr:colOff>163086</xdr:colOff>
      <xdr:row>16</xdr:row>
      <xdr:rowOff>33643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58154D-CF82-4242-A6A0-625285B36D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295274</xdr:colOff>
      <xdr:row>16</xdr:row>
      <xdr:rowOff>119061</xdr:rowOff>
    </xdr:from>
    <xdr:to>
      <xdr:col>10</xdr:col>
      <xdr:colOff>638175</xdr:colOff>
      <xdr:row>33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224617-0A11-4102-862B-6DB652EA6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590550</xdr:colOff>
      <xdr:row>4</xdr:row>
      <xdr:rowOff>131762</xdr:rowOff>
    </xdr:from>
    <xdr:to>
      <xdr:col>16</xdr:col>
      <xdr:colOff>285750</xdr:colOff>
      <xdr:row>19</xdr:row>
      <xdr:rowOff>17462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3AB370-E916-4912-BCD1-754499C127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14</xdr:row>
      <xdr:rowOff>161925</xdr:rowOff>
    </xdr:from>
    <xdr:to>
      <xdr:col>7</xdr:col>
      <xdr:colOff>60325</xdr:colOff>
      <xdr:row>29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664C9E-5276-4570-A641-FC9DE92B27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nukpo, Edward" refreshedDate="43613.757504398149" createdVersion="6" refreshedVersion="6" minRefreshableVersion="3" recordCount="4114" xr:uid="{24F67626-C04D-4045-ACF7-5AED1CDB1799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1" maxValue="50000000"/>
    </cacheField>
    <cacheField name="Category " numFmtId="0">
      <sharedItems count="10">
        <s v="film &amp; video"/>
        <s v="theater"/>
        <s v="technology"/>
        <s v="publishing"/>
        <s v="music"/>
        <s v="journalism"/>
        <s v="games"/>
        <s v="food"/>
        <s v="photography"/>
        <b v="0"/>
      </sharedItems>
    </cacheField>
    <cacheField name="Sub-Category" numFmtId="0">
      <sharedItems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b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nukpo, Edward" refreshedDate="43615.065515856484" createdVersion="6" refreshedVersion="6" minRefreshableVersion="3" recordCount="4115" xr:uid="{CDBB90C8-A26A-4080-B9CD-F39FBBFDE92B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" count="2881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  <m/>
      </sharedItems>
    </cacheField>
    <cacheField name="Average Donation" numFmtId="0">
      <sharedItems containsString="0" containsBlank="1" containsNumber="1" minValue="1" maxValue="50000000"/>
    </cacheField>
    <cacheField name="Category " numFmtId="0">
      <sharedItems containsBlank="1" count="11">
        <s v="film &amp; video"/>
        <s v="theater"/>
        <s v="technology"/>
        <s v="publishing"/>
        <s v="music"/>
        <s v="journalism"/>
        <s v="games"/>
        <s v="food"/>
        <s v="photography"/>
        <b v="0"/>
        <m/>
      </sharedItems>
    </cacheField>
    <cacheField name="Sub-Category" numFmtId="0">
      <sharedItems containsBlank="1" count="43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b v="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nukpo, Edward" refreshedDate="43615.123651851849" createdVersion="6" refreshedVersion="6" minRefreshableVersion="3" recordCount="4115" xr:uid="{4D6A82B8-3CEC-4DD6-805C-F0F09FD6784E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1" maxValue="50000000"/>
    </cacheField>
    <cacheField name="Category " numFmtId="0">
      <sharedItems containsBlank="1" count="11">
        <s v="film &amp; video"/>
        <s v="theater"/>
        <s v="technology"/>
        <s v="publishing"/>
        <s v="music"/>
        <s v="journalism"/>
        <s v="games"/>
        <s v="food"/>
        <s v="photography"/>
        <b v="0"/>
        <m/>
      </sharedItems>
    </cacheField>
    <cacheField name="Sub-Category" numFmtId="0">
      <sharedItems containsBlank="1" count="43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b v="0"/>
        <m/>
      </sharedItems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10066.5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2464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512.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10195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49058.14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4194.5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8259.5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9055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3500.76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564.99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3007.5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5512.5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39794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4549.5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6028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06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2014.5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1505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30948.165000000001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1042.5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2002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345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380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2185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36541.345000000001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700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595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21172.5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202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350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4025.9949999999999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2848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530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2996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1332.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7264.5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31178.5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2625.5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28872.5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2013.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2000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6930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20433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2000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5500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8575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5190.2749999999996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2079.5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2000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600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254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10810.5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3144.5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0050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9845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8290.5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15142.5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0145.5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20012.57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574.165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6207.5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382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2135.1849999999999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1640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7263.5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218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2162.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681.5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10547.115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568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2015.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2292.5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90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532.32999999999993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3770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80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985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700.5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1475.5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12435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1117.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00.25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202.5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500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1353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6194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2557.5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355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6452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501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3300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5130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105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55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4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1610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412.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3300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1545.145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5000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35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6832.5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1333.5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55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2281.5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5012.5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7592.5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2600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1597.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1500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4455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5100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6025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3050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541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3739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4511.1100000000006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5325.79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3324.0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35005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500.5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5000000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7575.5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200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285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3193.5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09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50933.5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1000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30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60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43827.5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35882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250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1701.5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150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2750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7735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10000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6646.5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505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275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478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2419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10057.5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350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50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5046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80056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125070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900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25179.5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770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675040.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8392.5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1501.5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250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250005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250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25002.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1617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100000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60320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850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4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500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4162.5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1530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516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25000.5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4750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555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300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10648.5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75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3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25000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6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800.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2072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50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8491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77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110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250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290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75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250172.5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6025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2625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00008.5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50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251.5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100000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2482.5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1381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12639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500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3785.775000000000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1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300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1623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226082.5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4650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635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806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2500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1250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7515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3615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3150.5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501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6250.5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2205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8924.61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55971.5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255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29407.5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2518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2500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5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75000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300000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10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46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1400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400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150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75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75000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2055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17500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700.5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500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7500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7525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1300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625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5572.56000000000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38700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1387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25324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3740.75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093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10136.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5852.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85566.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10646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30837.5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3947.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711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1505.5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26033.67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8269.33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15541.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36177.134999999995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43671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86976.70999999999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0320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20740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250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27260.13500000000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545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5277.5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1227.5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11407.720000000001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285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123616.88499999999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2905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3070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4161.5050000000001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5194.3950000000004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120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20839.5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4952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6837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33797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21872.055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96054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6066.16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45267.5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9284.525000000001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40925.22999999999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23017.754999999997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5686.5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20722.5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50802.654999999999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15361.5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4650.399999999999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5500.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75565.100000000006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6180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50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58277.279999999999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7340.775000000001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20064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131627.41999999998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13947.625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25215.33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14217.77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10023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3562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5638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8637.5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1964.5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23245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1233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1970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1020.645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20410.165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8475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17402.5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2425.75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5156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6033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30120.5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9583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531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2065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35466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25989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602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8568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51099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59697.2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4728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76355.399999999994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10275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35320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41321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106507.5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45045.5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0059.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8617.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27104.89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3017.525000000000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15760.02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6242.5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39379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3617.5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55100.75999999999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30304.294999999998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3384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16187.5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13514.44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42318.1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10150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11633.59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26845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38648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10828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60942.59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3569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37845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600.9650000000001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20550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50772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24787.5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2082.5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36938.474999999999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0832.5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8984.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7355.6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15298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38250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10167.505000000001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12757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6830.0599999999995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27752.5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0626.5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33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7750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6919.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550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2523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2864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3176.5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620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4830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25591.25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1067.5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153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21210.5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25747.75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600.5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59658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5654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95722.06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1000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20061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18583.5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52611.5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4979.5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10402.225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15500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12686.674999999999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8443.5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0680.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0615.125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5095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2416.5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5131.5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35541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2928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2907.8649999999998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2015.5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6043.13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592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141.5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30157.5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2835.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13125.5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18764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1415.03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1101.085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1051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2471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8017.5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1657.25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7650.5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20215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0076.5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1601.95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2500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5066.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325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6338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250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512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1707.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328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150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131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55001.5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50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350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0938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225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2502.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20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11845.5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00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25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3000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5633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15002.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1291.005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1022.5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25198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1000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615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47450.5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5041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325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4474.5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1000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5410.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19512.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426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275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5000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28125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505.5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3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5038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2157.5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375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300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0770.5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470.5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15430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650.5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100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112453.295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75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500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9942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23882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15915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5005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11265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40074.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23135.505000000001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275025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2500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600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37606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50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500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500000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1500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015.5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350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30000.5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2255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34051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10955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3357.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500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1011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330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12417.5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6026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100125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10320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25200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2505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700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2575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400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28481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775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60825.5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250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7602.5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3587.5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7373.5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5052.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5116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3220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5515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3651.7750000000001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2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1605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10042.5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1240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1382.5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3537.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4000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11162.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2002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15350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202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3601.25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220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10060.5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501.6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7500.5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262.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25000.5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110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25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3184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300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375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5004.5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1284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2517.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39390.5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2250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12561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2643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375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41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7568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375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120025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50006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75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2500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75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9000.5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1250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2500.5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500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12372.5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126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42571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125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125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44617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563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30129.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40000.5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2505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62507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6087.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500.5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20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5000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4500.5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0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450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5028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16362.5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46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3750.5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611.5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500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3875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307.5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25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0213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1000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376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675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250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255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5070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3500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7795.01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75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2565.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2505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125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75730.5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392.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6901.5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4000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500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36409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500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257.5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250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103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20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250000.5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1515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12630.5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170.5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3750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250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1250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4672.5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225045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250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00175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6004.5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25345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1000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5622.5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2500.5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12501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1002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5000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100009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500000.5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85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43832.5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56048.5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25726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50014.74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3787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927.50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2070.5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3969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2999.5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159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5066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3007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0542.2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22037.5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9875.5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7839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6927.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29532.5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3008.5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25764.5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5047.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19578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35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6452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5932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100004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27505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7842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21507.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58174.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20914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30407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50102.5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2500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45.5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50735.5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31396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15054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32913.5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4721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250.5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25026.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1764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1974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1276.5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25000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1775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17299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157648.7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11234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5130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10653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6766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75295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30318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87500.5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3659.5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769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18574.37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7701.5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14559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9811.005000000001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7918.5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27740.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50488.5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5000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60835.3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4418.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75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60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66895.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4302.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2599.5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624.5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4444.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3857.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50152.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604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7597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2317.5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9106.5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900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234.5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7191.5050000000001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20035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2517.5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4471.5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7708.7250000000004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613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23219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5650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5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2756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9585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50385.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7472.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560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1550.5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7750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3111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3146.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1475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682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5058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3098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152.5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7001.5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2002.5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1027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4501.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3277.5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292.5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11400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2037.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2523.8450000000003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762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422.5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2525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048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110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2617.5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175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2147.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250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4760.5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200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2588.5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125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2828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875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9005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775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895.5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425.5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5085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5299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1510.5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51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7700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1020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932.615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70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1861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1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701.5699999999999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6070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1285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1517.5250000000001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780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12218.73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764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2505.5550000000003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2788.2150000000001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8212.5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1482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0067.5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3113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3760.5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5000.5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1891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2115.2150000000001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6040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2567.5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5500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3075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8177.5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4102.5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4500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4075.5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1537.5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1020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755.5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1949.97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1136.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4140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7529.2749999999996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1778.33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447.5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417.5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2340.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17482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3287.5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1118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1875.05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527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5540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305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1345.5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510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1870.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2500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15045.5299999999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6050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6353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2172.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5023.26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2772.5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2454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5415.415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11020.83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033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2554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55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441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5509.50500000000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1221.0050000000001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300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398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5103.5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2304.5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3587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30332.65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1475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397.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120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1464.0349999999999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093.5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8270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230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2508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045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4600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11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2070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3100.5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22525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4920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0031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3162.5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40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1772.5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1865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250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21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1675.5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25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1372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946.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189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901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3500.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87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352.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50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536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13680.16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1562.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4130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4222.5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110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391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4097.5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5600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150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128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51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25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325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15045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258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25075.5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348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750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145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125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8260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336.5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5000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76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15991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75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3437.5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165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2515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2048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5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275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9817.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6340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766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1663.5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080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350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1000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8037.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25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22.5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065.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5440.5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10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3260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177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70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177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3512.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1395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5272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25580.5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084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1644.5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28331.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51242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7643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425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224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10136.5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3201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34597.5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342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7563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10755.5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5849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25430.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6116.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4329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3471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40652.5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67539.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606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17688.5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55439.5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12649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6888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1178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4053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22000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3648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50113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3462.5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10205.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25140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51303.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76444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1804.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135081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1993.08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5743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44449.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8751.5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67485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505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15944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275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2830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250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838.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25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2606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50233.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43780.5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102334.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5363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2032.5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2532.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47567.5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80841.5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457262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51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6479.5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11605.5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2776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17505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117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21648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46875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28282.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773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10037.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540875.5250000000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16816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6530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62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51421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53598.5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10310.5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33150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2368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6777.0550000000003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2149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371.5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21863.775000000001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3474.91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7000.29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761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10863.5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10588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421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370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5629.42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1347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5750.0450000000001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477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4778.110000000000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1010.5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1840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570.5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42625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25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33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54268.5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50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5133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150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000.5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7606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600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125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25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2168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757.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125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175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500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500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2000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55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2525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200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194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50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49038.5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540.5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77525.5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315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5022.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1525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50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5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37525.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38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28703.5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522.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61037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16172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322.5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13339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0910.5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4006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502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25205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275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5513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900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55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25691.17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8087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6502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1010.5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71.1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0647.005000000001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2587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076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50023.5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13401.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12.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205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50020.5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4212.5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7621.5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31485.5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450715.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82.5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500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12866.25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5022.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5127.5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250.5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59636.46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02.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00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20026.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250089.26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541.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2304.5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1052.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1250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125014.5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160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2505.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45212.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150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100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17792.5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500.5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0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2505.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2000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5719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151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2500.5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25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2230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17437.5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17562.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4002.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250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25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200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2593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465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4005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3265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1250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7536.5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250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1376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1250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8455.5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4025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2662.5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12594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325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75.5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3767.5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3375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15577.5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900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300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260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500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6035.25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8935.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30489.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951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008.5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125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12512.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450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62515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794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10292.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87505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300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37502.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3160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27937.5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25002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521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1300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22543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2840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7752.5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8930.5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2605.5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9350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87.5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2822.5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5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21415.5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26390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11750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26818.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26497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6310.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675.5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414.5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6073.1350000000002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37405.5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00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13191.5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13056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967.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704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12765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6180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35431.5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005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2863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572.5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2318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22152.00500000000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17199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26844.5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2252.5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21187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5282.5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25.5050000000001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7607.5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20998.5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8030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1566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25968.5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100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3232.5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1387.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25000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250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252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55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2500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872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125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1250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89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125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4120.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3768.5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458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6845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2038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2202.5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2170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3887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3145.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5111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45023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60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4159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15196.6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10011.5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4535.5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32694.564999999999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10855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18788.7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553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3525.5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2012.5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326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1642.5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866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3835.085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9522.5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2219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13000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19613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10736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7567.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5150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4070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31871.919999999998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19660.55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3066.3150000000001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15459.325000000001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8285.5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13190.084999999999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5818.39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7375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16771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1555.25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2010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2016.5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1562.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427.5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4009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168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3650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3685.5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1785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5167.5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555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2524.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1025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20952.5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2046.5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3920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352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2027.5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250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029.565000000000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27925.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18896.5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90885.5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27878.5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5568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12189.5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1550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165035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314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26223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91014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70202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37500.5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105733.5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2306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3338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50251.5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234009.5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17553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8166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27460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10243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50565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24852.5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38374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25204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21436.5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26708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5057.5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125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73651.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14970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92473.5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37345.5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15495.5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26658.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84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21295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2505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50574.5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3583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337.5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6059.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2527.5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5930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7605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5101.25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20126.5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1180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1168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1381.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783.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4807.7800000000007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2253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3175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712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2049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6779.5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1045.5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20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45915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7510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8493.3450000000012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5356.5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5267.5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33225.315000000002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1527.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724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560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10250.5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2171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5426.5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652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1405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33.5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10580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65.5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5177.5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8174.5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3436.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3921.5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8416.244999999999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37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4732.5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5870.1849999999995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613.5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2927.5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525.5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670.5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0117.5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833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3708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62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10692.5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4613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10176.5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46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7456.5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614.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4051.5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7370.5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12552.5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6007.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150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536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200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3000.5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1503.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3660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5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250.5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2600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2500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27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1503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3372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56.5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25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505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4513.5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650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50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2709.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522.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500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2701.5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215.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2000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6402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4509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50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50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1903.5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10300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1452.5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6500.5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91010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75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650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2475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6500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45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0037.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10000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4444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50000.5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9476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700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1250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882.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8287.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2572.5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300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250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1850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1250000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15093.345000000001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4170.350000000000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743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6580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83462.175000000003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16630.184999999998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43016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9612.5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46114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1688.5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32614.5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29838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1653.87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3184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21650.22499999999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22846.639999999999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31696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320403.5549999999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1899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54260.1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2552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2502.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35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100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3425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0024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500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768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250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1897.5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65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20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120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2722.5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100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75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7500.5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528.5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1002.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1750.5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69246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22159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3897.9650000000001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12283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16286.5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1585.5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1890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19495.5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9568.61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16082.8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14825.5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11528.5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10000.75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25809.5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385783.5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7736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19648.5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22902.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9151.375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8312.5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38777.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51975.05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20798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4605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562.074999999999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25337.5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3682.7750000000001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723.5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9064.5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41094.5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3242.5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14600.5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55156.5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19415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648.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21018.504999999997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16794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7092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23598.61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6340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900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6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13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50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500.5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644.5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1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38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335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425.5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175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3207.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300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1000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375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1088.5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3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392.5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7525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1297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5033.5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200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30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5005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205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8187.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4425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420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1500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242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609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1312.5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4611.5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525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145.5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282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50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1051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680.5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875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02.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546.5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0007.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60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790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75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3750.5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258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60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30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9046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12.5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1001.5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602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501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1662.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750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400.5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25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2683.5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2603.1149999999998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1501.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2000.3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3109.5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6020.8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040.165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12255.5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1207.5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1637.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3718.5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900.5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25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1007.5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5067.5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8565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10210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8605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1538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1750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1065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5530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6959.5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75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1090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9575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8047.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2170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018.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6110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7305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2795.5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4032.5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0000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200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225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4580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509.5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1025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1800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539.72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251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1200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5617.5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104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270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102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5118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2590.5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3811.165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2415.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2007.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4515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6855.7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1209.5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1821.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7512.5599999999995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25616.724999999999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6967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532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541.5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7999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8105.5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1040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2780.109999999999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3840.5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32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3856.5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8105.5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2397.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1013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006.735000000000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1810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2395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7542.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1187.08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3230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6350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1638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2750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1087.5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65462.19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300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2130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365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355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2509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6562.5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886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2400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1567.5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0021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3695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1640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002.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702.5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15000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7513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6250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2660.5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12606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2530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8250.5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651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100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275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2743.5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350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917.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2517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250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1525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3483.5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250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1075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2330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175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2017.5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112.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250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440.5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5325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3017.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3030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4348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500.5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052.5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500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150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50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200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500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2250.5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1511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2425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51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500.5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150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1265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2087.5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6012.5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6007.5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7490.5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18607.5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9223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5748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11230.25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7540.5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0145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2161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15600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8947.5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2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5577.8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5400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1073.5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5165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6636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127.5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492.5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2114.5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657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9966.74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75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364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2593.5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20540.5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9173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2547.5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3179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15938.5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1824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26829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2667.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2725.5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25497.5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7493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20961.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3458.5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20211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24738.5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349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14426.5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1402.5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5766.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2788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402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7318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1553.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20140.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15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4998.5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9423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11595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8377.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9091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2034.915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27860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9677.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2598.5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11445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76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15345.5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10295.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2776.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979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1940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232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27020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682.5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4375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8951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150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12754.5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13709.5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750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12.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13853.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2936.125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300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755.5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3001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2050.5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2010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026.5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20016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2000.125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1511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1015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4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725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0902.5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510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7508.5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1220.5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1000.745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1526.5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940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2017.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2252.5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11200.305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1510.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1000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17844.5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2761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3110.5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00.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9068.5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1300.5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6272.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807.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15159.275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11115.0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2012.5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3000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5798.55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3477.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875.5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12500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727.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125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4644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5500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125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005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13108.5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500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1930.5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5583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0106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40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800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5025.5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14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3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400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250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3002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2726.8450000000003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3365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1023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1175.5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4948.5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1212.5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3167.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3326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2066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14675.065000000001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10277.5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591.5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2550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1072.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9150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505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642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1222.5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1050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2617.055000000000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50835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506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2199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0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2521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35690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15042.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2716.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9969.5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59243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21255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3982.5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318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63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54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0051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7512.5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12630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368.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7151.5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1776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2155.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1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3216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1577.5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215.345000000000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610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2590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3205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113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2206.0100000000002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5433.5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8173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5590.5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2605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8119.5050000000001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861.73500000000001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6195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053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880.5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282647.94500000001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7153.21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90262.5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7611.1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22400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9365.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802.53500000000008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450105.5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1500.65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72124.4800000000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78111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52232.665000000001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444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19973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104705.0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118210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40125.705000000002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53745.0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12836.720000000001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76266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0269.06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14646.2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21554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60371.56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9057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53371.54499999998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47013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96241.5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790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30795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726055.4350000000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9681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353262.505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47549.599999999999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24696.67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8932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125582.5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281711.28500000003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14901.155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113706.00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940.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9000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17209.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9086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825.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000.5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3918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3012.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2525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754.5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1070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75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100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160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539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6690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325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1577.5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15618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812.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32585.5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9198.55499999999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1030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83605.119999999995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33552.014999999999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86960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10785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1704.89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101289.5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63007.9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229891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8372.5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475931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1187067.335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7668.0050000000001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51077.11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28137.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65729.114999999991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16981.95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192.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9527.5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112568.5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130729.5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13707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120460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29185.384999999998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110124.5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3392.5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5765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5345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55087.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50523.5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34834.5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189859.79500000001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124414.57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34750.2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20023.82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20820.5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147635.5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5222.5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3388.5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11176.5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4198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15616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22520.005000000001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11055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99469.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105541.22500000001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55047.675000000003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8663.5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9214.5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11326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5025.5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37378.5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8022.5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63363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22667.415000000001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3434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36518.5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7050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519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107488.5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4961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381373.13500000001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9843.02500000000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3186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561.5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25652.985000000001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57101.665000000001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60829.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38073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75336.5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126302.15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607.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88909.8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575797.49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53877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23120.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19408.5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3039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3755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1580.5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800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3125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6706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4014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1526.5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3232.66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2755.0050000000001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8601.6149999999998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19842.099999999999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6038.5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1518.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3859.5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2500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605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3000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6010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3485.5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710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2132.5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1180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570.5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91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3540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2277.5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2077.3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16585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4130.5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2003.5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2065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300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7170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5117.5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2442.5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48217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1486.5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1173.054999999999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2007.5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8035.215000000000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5142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40155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275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607.5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042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1000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18038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7512.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11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042.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262.5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51056.49500000000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08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052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739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40023.845000000001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32101.5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564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15813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250280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750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550.5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1112.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18053.5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9782.5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2500.5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19635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5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100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25202.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22559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502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186329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26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557.5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28746.5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48072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159885.0549999999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8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042.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431.5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4776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2902.5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5572.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83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2466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16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19942.345000000001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153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491.5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4121.5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1000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4765.5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4059.5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1225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5650.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2501.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29830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1307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5179.6049999999996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2531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9362.5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5303.5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9237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48924.25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20967.5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111464.25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14069.5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3619.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27038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824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70874.41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41428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31868.5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5067.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14968.5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157654.66500000001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46578.5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11114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6421.5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265.495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16083.625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2095.5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1746.5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945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1115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000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1008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6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4228.5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369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6431.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7.5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1177.5050000000001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705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308.5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22.5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2228.33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1007.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3520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7804.5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656.5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065.5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17157.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09707.505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18761.654999999999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16729.5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6372.45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10858.165000000001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9603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16401.6200000000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14895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5400.5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632.5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6465.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8919.5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40763.5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474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28503.334999999999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9267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532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73004.88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651.7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11925.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4940.5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2501.5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18912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7252.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4703.5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13438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9964.0950000000012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16752.5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8507.5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399.5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7636.5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774.5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201.7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2711.5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835.5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5336.5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4397.5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4193.5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808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8401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98.5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3152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48052.5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28364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23770.5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2531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38309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7283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4004.5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2745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1650.2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4722.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1024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3707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1269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24675.25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427.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070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3012.8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6186.63500000000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3320.5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500.5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4949.4949999999999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1000.5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1555.5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1530.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3410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2072.5050000000001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885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152.02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1351.5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8717.5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100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30761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675.25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805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5840.110000000000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3112.5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751.8050000000003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6021.01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8110.5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3618.2750000000001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029.865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50326.55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6200.2350000000006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48917.68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185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3118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6896.01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1541.82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2532.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15303.2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408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5526.5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3115.5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5216.5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7343.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1392.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185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4527.5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540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7554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109566.505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17722.5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5740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35424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9772.5499999999993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25788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936.5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4039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25284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62073.254999999997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12639.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5085.7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49276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41155.5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250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275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515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500.5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150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30019.5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507.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35135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23745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2500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9504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100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50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17512.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40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500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1350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75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4300.5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501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10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27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8750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64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50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1381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25335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200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1250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12541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100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284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425025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1005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500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1663.165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125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5500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1500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7527.5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43960.5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15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5217.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504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32894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1500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75513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18731.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8015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25500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10012.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210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025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250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1650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2505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6200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200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650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2500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14100.5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6026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701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750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306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2297.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3778.5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75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12730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750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12575.5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400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1512.5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7730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30167.5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10002.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50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2502.5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150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9685.5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3000.5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250.5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30004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12655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750.5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1000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25000.5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7500.5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71002.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5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5000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700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500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00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125612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585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400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7525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500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250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795.5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27113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30251.494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3129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6820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6699.5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6590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15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1040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5115.014999999999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10772.5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700.5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3820.5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35148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42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2106.5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23265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5254.5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30337.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8533.5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7642.5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3160.62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2162.5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2111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980.5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2500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1092.5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2072.1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128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1015.82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570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8841.01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2000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5000.09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2559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3280.3599999999997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1017.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9100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350.16499999999996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00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258.219999999999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1000.5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1175.5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3838.0549999999998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2032.5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548.5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1500.3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3100.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4089.25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553.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08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675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22870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1507.54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1706.5250000000001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4255.43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102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6052.5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640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5640.5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55043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500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1750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350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25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21425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1000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48000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250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5000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575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9000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610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296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1100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9883.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250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75032.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5000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3092.994999999999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5000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1154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7560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801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4259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4042.5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4144.9949999999999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6128.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6500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4509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4522.5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7900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20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0377.5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27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5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9171.584999999999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0012.5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2542.5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3623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712.5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20.5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5020.5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295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370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6046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6055.5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159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6527.5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3725.25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309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1916.5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3342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2073.5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765.5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983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1305.5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845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3001.5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5000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5037.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1000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2000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505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1750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225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25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332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35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5012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1500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400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500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4250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500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750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300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100138.5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427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2765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45000.5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502.5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500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15025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1502.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5608.5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3116.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25002.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150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76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15025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500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40000.5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8412.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21628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792.5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2085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4565.5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267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1903.5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25565.5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176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20421.8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103710.78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11553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20308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1295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70665.195000000007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27468.83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158985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13588.065000000001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7538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605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2699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26816.75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444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15404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1442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91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18441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1733.88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2140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59176.824999999997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792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2650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560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882.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5693.5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257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21466.525000000001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1268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11365.5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958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1500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1436.5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665.5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350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396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308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757.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25000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667798.65500000003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51026.5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11050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271043.21000000002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68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6053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62562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30179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142616.5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50442.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28438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50025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9077.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83577.5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17810.689999999999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49045.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25166.5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10009.5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5072.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0680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20459.625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800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3905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12964.755000000001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1580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1353.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00.5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20691.5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13918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6659.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25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28497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13448.5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579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1457.5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4000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20066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16138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40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384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7518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354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25005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1500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750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25037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7500.5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44293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325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1762.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2520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5000.5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7535.5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31695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4530.5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4013.005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1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5034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248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6720.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40750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0072.5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9119.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37152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18033.78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33321.535000000003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50401.5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76170.10500000001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3924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636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51681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27044.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21877.34500000000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10999.005000000001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27513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8322.5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6265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27265.5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5857.5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8813.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14403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4897.4400000000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48908.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102872.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29660.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22637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7666.5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36489.50500000000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30645.5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13095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51884.5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1302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4043.005000000000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8916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51909.120000000003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6198.5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662.5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305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4017.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1615.5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2999.5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8417.5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4875.5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1900.5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20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2526.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0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999.5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1637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267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1190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500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380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5524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75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1117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250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2518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1637.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19745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2022.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200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50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2017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4001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40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11041.125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999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400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265.5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22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25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11327.5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505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3452.5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1276.5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5000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1283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1100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072.5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570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5117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2723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1098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202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3017.5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3080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2025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2076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0528.375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62.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71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862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105.805000000000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5035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5415.87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1165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8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027.5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11397.5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1075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420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3181.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5650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4505.5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2530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2602.5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10013.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5332.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186.06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1558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27.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3623.5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690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01.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120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23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1000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000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112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705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3050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2077.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2202.5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518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2581.5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3000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3160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2683.994999999999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2811.5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1080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1435.4949999999999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67.5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850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2202.5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3700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2550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505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75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60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29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4933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400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100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17535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252.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4155.5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225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2547.5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475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708.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45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157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2275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50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1017.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133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165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6377.5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501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270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1444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5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1502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650.880000000001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10088.5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2875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5233.5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150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726.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2635.5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10003.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7500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3325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31.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5614.5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7400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275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501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5954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22592.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5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5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1502.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1500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2071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1010.5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5136.5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3000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25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2500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261.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1812.5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6275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3908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500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452.5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78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75012.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2519.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787.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2061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3282.5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25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4932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9001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5000.5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1228.5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8235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500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2500.5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805.5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997.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1218.5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3181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325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1585.5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114.5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500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25400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45550.345000000001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33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2077.5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1000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8082.7749999999996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0046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772.5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3179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2534.5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2600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3515.5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1140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1750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4027.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8115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2590.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2500.5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120425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150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505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2500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00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1303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50012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5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250000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25548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10802.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0302.5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750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957.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4611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7640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4000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500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1500000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240.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110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342.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5017.8449999999993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1567.5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10681.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5348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3605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1312.5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180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3202.5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2053.5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6870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050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8005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95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3203.5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860.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5035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3137.5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4578.5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5051.5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42992.95500000002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25044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1082.5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2466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26300.1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1000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27653.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10000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8640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3067.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1001.5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836.62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15372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47590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10186.5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50757.25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1477.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500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5102.504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297.7150000000001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3017.5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42563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1686.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310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840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3017.5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7469.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935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335.5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4342.5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2848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26638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3454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8611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22642.5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4215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16592.5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7020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4860.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0044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710.5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8660.5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027.5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1095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46288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6700.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31451.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1808.5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1500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1136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3698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106268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26098.355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28341.5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783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1002.5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20871.39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3112.5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873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1710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5750.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12560.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4654.1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11488.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622.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6660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3875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618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163.5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250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5020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15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0000.5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1250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2500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9001.5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7725.5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110167.5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50000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83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1793.5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41735.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1250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19597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41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1250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570.5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5167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9586.5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600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1400322.5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12511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814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5753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110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30035.5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672446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1000188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501051.5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450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002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2264.5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12805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0025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100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32563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5427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18216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2898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0591.595000000001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2455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50012.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7485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10397.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5857.5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25241.5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1139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6913.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1400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11129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205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592.5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4160.5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520.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3952.5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250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16566.5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2505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1266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60.5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56930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3750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515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590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500.5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250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002.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650064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755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157.5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105096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400013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75000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13020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5000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5645.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63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5187.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2372.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5005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520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612.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469.5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569.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775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10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263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5048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79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397.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35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8770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1250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2762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21752.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2080.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1275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517.5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3507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2265.5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6533.7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7452.5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7212.6149999999998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5550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4020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5350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1751.1100000000001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4534.5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05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454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13725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2584.5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98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45539.915000000001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3242.5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2802.5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812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2122.5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7308.5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2150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0150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301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5239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2041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2717.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2038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4497.41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1318.5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522.5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703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2612.5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4455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1000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323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162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6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0890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200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1950.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5051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793.5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550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2785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15009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5572.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15055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3804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25000.5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0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3863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625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25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4136.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250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4025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5087.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10417.85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3386.5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25270.5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4525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6003.5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2128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35061.5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2000.5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4860.5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12126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20011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15063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4068.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2810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3247.5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30305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2023.5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1225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13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708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20786.5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2728.5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130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115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5470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4007.85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15240.5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20060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35137.82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2972.5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6035.49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3008.5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9150.5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11365.21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8113.5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1623.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21452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10561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2573.25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12047.5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5635.5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25194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1580.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2563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20182.5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13081.75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412.5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11403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2062.9949999999999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7182.5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3709.3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5231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3307.5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12385.5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2652.08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2537.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3564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6938.5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15157.5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2280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8060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1815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1725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2721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414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15602.5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802.5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4879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215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2542.5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6214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2030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5540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31410.25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819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3024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5301.5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5132.5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2500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10013.244999999999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582.60500000000002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2212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53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5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6085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655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710.005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1830.5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5502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0086.5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324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3542.5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350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8542.5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1943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15338.75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4040.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2065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1033.4000000000001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3890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454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6502.5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2623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2500.5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2160.5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1243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200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11742.09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1082.5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2256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520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2512.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518.5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332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1129.5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1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425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8055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80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217.5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1084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1547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5113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6000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580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4618.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5008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50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2627.5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5163.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8174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3572.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3350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6050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950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4532.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75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1575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2194.5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550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26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3577.5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5027.5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518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1037.5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3029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980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1510.5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2010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10149.5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4125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906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5336.5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79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7805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3089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2550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802.5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820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1023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5097.5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1633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238.5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1017.5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2002.5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3615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3000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8000.5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8042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571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2036.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3066.5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4045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3513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1852.5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6000.33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2000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2050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3253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1528.5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0725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1518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807.5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500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1543.5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666.5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710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1532.5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265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4221.5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1222.5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0020.5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2927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15732.5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2000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555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415.75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0015.5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2071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777.5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559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3127.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5267.5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3000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575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3052.5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00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4392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1700.0050000000001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4017.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2840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833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057.5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3136.5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00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6107.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30445.55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3902.5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1500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2027.5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72.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2085.4949999999999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2000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2096.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9512.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10277.5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1060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5147.5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3015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2552.5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1408.0700000000002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5130.4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2532.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250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1427.5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583.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2000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1041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1039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2202.5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1082.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630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654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1266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342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702.5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0032.5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4369.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2402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1097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565.5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725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97.5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377.5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10169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058.09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2030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397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3015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11089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2987.5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312.5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786.5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2020.5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4900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2010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3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306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1938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2128.5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1709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820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0940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35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354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2678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1655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3828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2277.5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331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5317.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1137.5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645.5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3900.1099999999997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1500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400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5171.5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3366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1618.5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1670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205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1031.5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1505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4108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2594.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000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2547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3022.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0220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40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3095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902.5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150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1000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3057.5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2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3040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500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4000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1575.345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2013.5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2007.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71.5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1395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427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0078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515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3333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6507.5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1659.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580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2750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1140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1051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565.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6405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2031.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90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946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2284.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659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334.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1230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5561.5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1535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2500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250.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1112.5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37521.625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2120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1010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2560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1513.75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773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72.5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5335.5550000000003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2400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220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0001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427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1017.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333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2530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392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513.72500000000002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1002.5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1037.5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2047.5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104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105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5012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2143.5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1665.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00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042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5977.5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10066.5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10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690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1500.1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500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962.5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1500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1935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3127.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232.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3725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7853.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566.5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200.5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4550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5001.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962.5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2272.5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3159.5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1807.5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2840.5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1142.5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2532.5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1050.5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7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11.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2043.5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4001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2030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3192.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55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3454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565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800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2482.5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1311.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2950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6110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1250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2510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2585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2810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810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2010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1065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10772.5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3146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1000.495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2750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3074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040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4036.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2000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50000"/>
    <x v="9"/>
    <x v="41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500001"/>
    <x v="9"/>
    <x v="41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500.5"/>
    <x v="9"/>
    <x v="41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2912.5"/>
    <x v="9"/>
    <x v="41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300"/>
    <x v="9"/>
    <x v="41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3381"/>
    <x v="9"/>
    <x v="41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39092.5"/>
    <x v="9"/>
    <x v="41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2388"/>
    <x v="9"/>
    <x v="41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75000"/>
    <x v="9"/>
    <x v="41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1963"/>
    <x v="9"/>
    <x v="41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758"/>
    <x v="9"/>
    <x v="41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2500.5"/>
    <x v="9"/>
    <x v="41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527.5"/>
    <x v="9"/>
    <x v="41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1500"/>
    <x v="9"/>
    <x v="41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357.5"/>
    <x v="9"/>
    <x v="41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12500"/>
    <x v="9"/>
    <x v="41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2910.5"/>
    <x v="9"/>
    <x v="41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500.5"/>
    <x v="9"/>
    <x v="41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5240.5"/>
    <x v="9"/>
    <x v="41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265"/>
    <x v="9"/>
    <x v="41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40076.5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76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500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10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526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2005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2058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5406.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5145.5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2107.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150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3030.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250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316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8057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29.5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837.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667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1200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3047.5550000000003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1017.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1191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30.5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351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3023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4272.5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4500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60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91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12174.2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2025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2101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3191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1059.5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3588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3690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896.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5142.5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352.5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5006.125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3137.5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3275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1650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45592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1130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81.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3630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4002.5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2550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2080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526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2510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553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1502.5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3137.5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1173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354.50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2876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66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1430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1400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1041.25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1567.5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535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9515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2015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117.5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3545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1023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4015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848.5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310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3374.5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5020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1584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454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354.7749999999996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340.5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1864.5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2007.5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10931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2681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55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3060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490.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75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963.5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85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755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42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88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2402.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1179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1000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50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110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60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55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4351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1262.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5088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512.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6013.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163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532.5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5083.5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2750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631.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4525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3649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1517.5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4204.8850000000002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025.3850000000002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500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1289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5000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1500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71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132.505000000001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2167.5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4153.0550000000003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1100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20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1230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5255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5205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25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2002.5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8268.5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2432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2460.5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5298.5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275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4717.5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2017.5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1373.5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07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2507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6329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0.5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3775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1833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750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75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626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5588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2525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30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1250.5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5690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35512.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5201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11440.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271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150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7179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400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7500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3752.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977.5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1000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2012.5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166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537.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2095.5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2109.9949999999999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1801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1000.005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1644.2849999999999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2072.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410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103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36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3579.5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5250.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2575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260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5135.5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65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3790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5000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500.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162.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15.05500000000006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228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130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3135.5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26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850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2021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412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2012.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33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5436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3048.5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3032.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693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2042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3594.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6098.5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7564.5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16056.5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519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1676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50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500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639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512.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2500.5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2630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255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250.5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3530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5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3750.5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300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53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1531.5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100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1125.5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2505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6781.5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57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770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750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275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31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1500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2979.5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13120.5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9005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750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4240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62.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1500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750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500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18750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500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0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12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4059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8762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530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50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30387.5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7760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25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88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1470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1657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50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1317.5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1512.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2232.5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75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500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836.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125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576.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407.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0067.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3092.5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5496.5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7500.5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5500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1704.5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752.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100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755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3006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2545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1317.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150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405.5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6442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864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82.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2507.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6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2825.5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10226.5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500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400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6000.5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4051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2775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2157.5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1000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68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182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2502.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250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77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60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339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250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1002.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097.5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15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1500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5788.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012.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00000.5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13012.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880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1250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1087.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275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14003.5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1320.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746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522.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25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722.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500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1063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1142.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377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1055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2763.5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1518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750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70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605.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4452.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660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339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960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45652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1107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3055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1475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5612.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510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7508.5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797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1320.5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274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275.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766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150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859.5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3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5270.5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25001.5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1002.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3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1748.5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150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982.5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4078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4005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826.5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636.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250.5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15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15001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1002.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530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1002.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471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134.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287.5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0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450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3500.5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285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0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81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1764.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50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75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15260.5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350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405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262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200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1607.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1280.5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1000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1450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250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3230.5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15020.994999999999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685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6842.5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4411.5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39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1400.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40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5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25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5010.5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15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412.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2500.5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030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55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10000.5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0008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750.5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25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206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30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444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2940.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1147.5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2137.5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1922.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512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142.5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262.5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0245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4817.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1192.5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2013.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7512.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4022.5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1764.9749999999999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840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582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1000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50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76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1742.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1288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35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8167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125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1502.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150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128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76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2129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505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755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523.5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480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1108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262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51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902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5501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280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136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154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195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500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3750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2275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135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30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318.5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550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1820.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17650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4265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20.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1529.5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25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9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4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250.5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751.5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x v="0"/>
    <b v="1"/>
    <x v="0"/>
    <x v="0"/>
    <n v="10066.5"/>
    <x v="0"/>
    <x v="0"/>
  </r>
  <r>
    <x v="1"/>
    <x v="1"/>
    <s v="A Hannibal TV Show Fan Convention and Art Collective"/>
    <n v="10275"/>
    <n v="14653"/>
    <x v="0"/>
    <x v="0"/>
    <x v="0"/>
    <n v="1488464683"/>
    <n v="1485872683"/>
    <b v="0"/>
    <x v="1"/>
    <b v="1"/>
    <x v="0"/>
    <x v="1"/>
    <n v="12464"/>
    <x v="0"/>
    <x v="0"/>
  </r>
  <r>
    <x v="2"/>
    <x v="2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x v="2"/>
    <b v="1"/>
    <x v="0"/>
    <x v="2"/>
    <n v="512.5"/>
    <x v="0"/>
    <x v="0"/>
  </r>
  <r>
    <x v="3"/>
    <x v="3"/>
    <s v="We already produced the *very* beginning of this story. Help us to see it through?"/>
    <n v="10000"/>
    <n v="10390"/>
    <x v="0"/>
    <x v="0"/>
    <x v="0"/>
    <n v="1407414107"/>
    <n v="1404822107"/>
    <b v="0"/>
    <x v="3"/>
    <b v="1"/>
    <x v="0"/>
    <x v="3"/>
    <n v="10195"/>
    <x v="0"/>
    <x v="0"/>
  </r>
  <r>
    <x v="4"/>
    <x v="4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x v="4"/>
    <b v="1"/>
    <x v="0"/>
    <x v="4"/>
    <n v="49058.14"/>
    <x v="0"/>
    <x v="0"/>
  </r>
  <r>
    <x v="5"/>
    <x v="5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x v="5"/>
    <b v="1"/>
    <x v="0"/>
    <x v="5"/>
    <n v="4194.5"/>
    <x v="0"/>
    <x v="0"/>
  </r>
  <r>
    <x v="6"/>
    <x v="6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x v="6"/>
    <b v="1"/>
    <x v="0"/>
    <x v="6"/>
    <n v="8259.5"/>
    <x v="0"/>
    <x v="0"/>
  </r>
  <r>
    <x v="7"/>
    <x v="7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x v="7"/>
    <b v="1"/>
    <x v="0"/>
    <x v="7"/>
    <n v="9055"/>
    <x v="0"/>
    <x v="0"/>
  </r>
  <r>
    <x v="8"/>
    <x v="8"/>
    <s v="Help us raise the funds to film our pilot episode!"/>
    <n v="3500"/>
    <n v="3501.52"/>
    <x v="0"/>
    <x v="0"/>
    <x v="0"/>
    <n v="1460754000"/>
    <n v="1460155212"/>
    <b v="0"/>
    <x v="8"/>
    <b v="1"/>
    <x v="0"/>
    <x v="8"/>
    <n v="3500.76"/>
    <x v="0"/>
    <x v="0"/>
  </r>
  <r>
    <x v="9"/>
    <x v="9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x v="9"/>
    <b v="1"/>
    <x v="0"/>
    <x v="9"/>
    <n v="564.995"/>
    <x v="0"/>
    <x v="0"/>
  </r>
  <r>
    <x v="10"/>
    <x v="10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x v="10"/>
    <b v="1"/>
    <x v="0"/>
    <x v="10"/>
    <n v="3007.5"/>
    <x v="0"/>
    <x v="0"/>
  </r>
  <r>
    <x v="11"/>
    <x v="11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x v="11"/>
    <b v="1"/>
    <x v="0"/>
    <x v="11"/>
    <n v="5512.5"/>
    <x v="0"/>
    <x v="0"/>
  </r>
  <r>
    <x v="12"/>
    <x v="12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x v="12"/>
    <b v="1"/>
    <x v="0"/>
    <x v="12"/>
    <n v="39794"/>
    <x v="0"/>
    <x v="0"/>
  </r>
  <r>
    <x v="13"/>
    <x v="13"/>
    <s v="A travel series hosted by touring musicians that profiles a different American city in each episode."/>
    <n v="3500"/>
    <n v="5599"/>
    <x v="0"/>
    <x v="0"/>
    <x v="0"/>
    <n v="1466713620"/>
    <n v="1463588109"/>
    <b v="0"/>
    <x v="13"/>
    <b v="1"/>
    <x v="0"/>
    <x v="13"/>
    <n v="4549.5"/>
    <x v="0"/>
    <x v="0"/>
  </r>
  <r>
    <x v="14"/>
    <x v="14"/>
    <s v="A highly charged post apocalyptic sci fi series that pulls no punches!"/>
    <n v="6000"/>
    <n v="6056"/>
    <x v="0"/>
    <x v="2"/>
    <x v="2"/>
    <n v="1405259940"/>
    <n v="1403051888"/>
    <b v="0"/>
    <x v="14"/>
    <b v="1"/>
    <x v="0"/>
    <x v="14"/>
    <n v="6028"/>
    <x v="0"/>
    <x v="0"/>
  </r>
  <r>
    <x v="15"/>
    <x v="15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x v="15"/>
    <b v="1"/>
    <x v="0"/>
    <x v="15"/>
    <n v="2066"/>
    <x v="0"/>
    <x v="0"/>
  </r>
  <r>
    <x v="16"/>
    <x v="16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x v="16"/>
    <b v="1"/>
    <x v="0"/>
    <x v="16"/>
    <n v="12014.5"/>
    <x v="0"/>
    <x v="0"/>
  </r>
  <r>
    <x v="17"/>
    <x v="17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x v="17"/>
    <b v="1"/>
    <x v="0"/>
    <x v="17"/>
    <n v="1505"/>
    <x v="0"/>
    <x v="0"/>
  </r>
  <r>
    <x v="18"/>
    <x v="18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x v="18"/>
    <b v="1"/>
    <x v="0"/>
    <x v="18"/>
    <n v="30948.165000000001"/>
    <x v="0"/>
    <x v="0"/>
  </r>
  <r>
    <x v="19"/>
    <x v="19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x v="19"/>
    <b v="1"/>
    <x v="0"/>
    <x v="19"/>
    <n v="1042.5"/>
    <x v="0"/>
    <x v="0"/>
  </r>
  <r>
    <x v="20"/>
    <x v="20"/>
    <s v="Help us reach our goal &amp; pay the drama dept that is performing the hard read, which is set for October 2015."/>
    <n v="2000"/>
    <n v="2004"/>
    <x v="0"/>
    <x v="0"/>
    <x v="0"/>
    <n v="1442167912"/>
    <n v="1436983912"/>
    <b v="0"/>
    <x v="20"/>
    <b v="1"/>
    <x v="0"/>
    <x v="20"/>
    <n v="2002"/>
    <x v="0"/>
    <x v="0"/>
  </r>
  <r>
    <x v="21"/>
    <x v="21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x v="21"/>
    <b v="1"/>
    <x v="0"/>
    <x v="21"/>
    <n v="19345"/>
    <x v="0"/>
    <x v="0"/>
  </r>
  <r>
    <x v="22"/>
    <x v="22"/>
    <s v="Meet Gary, and Troy: Two unlikely friends that investigate &quot;strange phenomenon&quot;."/>
    <n v="350"/>
    <n v="410"/>
    <x v="0"/>
    <x v="0"/>
    <x v="0"/>
    <n v="1420099140"/>
    <n v="1418766740"/>
    <b v="0"/>
    <x v="22"/>
    <b v="1"/>
    <x v="0"/>
    <x v="22"/>
    <n v="380"/>
    <x v="0"/>
    <x v="0"/>
  </r>
  <r>
    <x v="23"/>
    <x v="23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x v="23"/>
    <b v="1"/>
    <x v="0"/>
    <x v="23"/>
    <n v="2185"/>
    <x v="0"/>
    <x v="0"/>
  </r>
  <r>
    <x v="24"/>
    <x v="24"/>
    <s v="STL Up Late is a weekly late night comedy talk show for St. Louis television."/>
    <n v="35000"/>
    <n v="38082.69"/>
    <x v="0"/>
    <x v="0"/>
    <x v="0"/>
    <n v="1442345940"/>
    <n v="1439494863"/>
    <b v="0"/>
    <x v="24"/>
    <b v="1"/>
    <x v="0"/>
    <x v="24"/>
    <n v="36541.345000000001"/>
    <x v="0"/>
    <x v="0"/>
  </r>
  <r>
    <x v="25"/>
    <x v="25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x v="25"/>
    <b v="1"/>
    <x v="0"/>
    <x v="25"/>
    <n v="700"/>
    <x v="0"/>
    <x v="0"/>
  </r>
  <r>
    <x v="26"/>
    <x v="26"/>
    <s v="Highlighting Sicily's points of light: its extraordinary people. Editing phase is now underway!!!"/>
    <n v="1250"/>
    <n v="1940"/>
    <x v="0"/>
    <x v="0"/>
    <x v="0"/>
    <n v="1408278144"/>
    <n v="1404822144"/>
    <b v="0"/>
    <x v="10"/>
    <b v="1"/>
    <x v="0"/>
    <x v="26"/>
    <n v="1595"/>
    <x v="0"/>
    <x v="0"/>
  </r>
  <r>
    <x v="27"/>
    <x v="27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x v="3"/>
    <b v="1"/>
    <x v="0"/>
    <x v="27"/>
    <n v="21172.5"/>
    <x v="0"/>
    <x v="0"/>
  </r>
  <r>
    <x v="28"/>
    <x v="28"/>
    <s v="John and Brian are on a quest to change people's lives and rehabilitate dogs."/>
    <n v="12000"/>
    <n v="12042"/>
    <x v="0"/>
    <x v="0"/>
    <x v="0"/>
    <n v="1450307284"/>
    <n v="1447715284"/>
    <b v="0"/>
    <x v="26"/>
    <b v="1"/>
    <x v="0"/>
    <x v="28"/>
    <n v="12021"/>
    <x v="0"/>
    <x v="0"/>
  </r>
  <r>
    <x v="29"/>
    <x v="29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x v="27"/>
    <b v="1"/>
    <x v="0"/>
    <x v="29"/>
    <n v="3350"/>
    <x v="0"/>
    <x v="0"/>
  </r>
  <r>
    <x v="30"/>
    <x v="30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x v="28"/>
    <b v="1"/>
    <x v="0"/>
    <x v="30"/>
    <n v="4025.9949999999999"/>
    <x v="0"/>
    <x v="0"/>
  </r>
  <r>
    <x v="31"/>
    <x v="31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x v="29"/>
    <b v="1"/>
    <x v="0"/>
    <x v="31"/>
    <n v="13"/>
    <x v="0"/>
    <x v="0"/>
  </r>
  <r>
    <x v="32"/>
    <x v="32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x v="30"/>
    <b v="1"/>
    <x v="0"/>
    <x v="32"/>
    <n v="28485"/>
    <x v="0"/>
    <x v="0"/>
  </r>
  <r>
    <x v="33"/>
    <x v="33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x v="31"/>
    <b v="1"/>
    <x v="0"/>
    <x v="33"/>
    <n v="5305"/>
    <x v="0"/>
    <x v="0"/>
  </r>
  <r>
    <x v="34"/>
    <x v="34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x v="32"/>
    <b v="1"/>
    <x v="0"/>
    <x v="34"/>
    <n v="2996"/>
    <x v="0"/>
    <x v="0"/>
  </r>
  <r>
    <x v="35"/>
    <x v="35"/>
    <s v="Why Adam? is an independent TV show that explores concepts of basic science in everyday life."/>
    <n v="1000"/>
    <n v="1665"/>
    <x v="0"/>
    <x v="0"/>
    <x v="0"/>
    <n v="1430179200"/>
    <n v="1428130814"/>
    <b v="0"/>
    <x v="33"/>
    <b v="1"/>
    <x v="0"/>
    <x v="35"/>
    <n v="1332.5"/>
    <x v="0"/>
    <x v="0"/>
  </r>
  <r>
    <x v="36"/>
    <x v="36"/>
    <s v="A modern day priest makes an unusual discovery, setting off a chain of events."/>
    <n v="6000"/>
    <n v="8529"/>
    <x v="0"/>
    <x v="0"/>
    <x v="0"/>
    <n v="1428128525"/>
    <n v="1425540125"/>
    <b v="0"/>
    <x v="34"/>
    <b v="1"/>
    <x v="0"/>
    <x v="36"/>
    <n v="7264.5"/>
    <x v="0"/>
    <x v="0"/>
  </r>
  <r>
    <x v="37"/>
    <x v="37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x v="35"/>
    <b v="1"/>
    <x v="0"/>
    <x v="37"/>
    <n v="31178.5"/>
    <x v="0"/>
    <x v="0"/>
  </r>
  <r>
    <x v="38"/>
    <x v="38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x v="36"/>
    <b v="1"/>
    <x v="0"/>
    <x v="38"/>
    <n v="2625.5"/>
    <x v="0"/>
    <x v="0"/>
  </r>
  <r>
    <x v="39"/>
    <x v="39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x v="37"/>
    <b v="1"/>
    <x v="0"/>
    <x v="39"/>
    <n v="28872.5"/>
    <x v="0"/>
    <x v="0"/>
  </r>
  <r>
    <x v="40"/>
    <x v="40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x v="38"/>
    <b v="1"/>
    <x v="0"/>
    <x v="40"/>
    <n v="2013.5"/>
    <x v="0"/>
    <x v="0"/>
  </r>
  <r>
    <x v="41"/>
    <x v="41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x v="10"/>
    <b v="1"/>
    <x v="0"/>
    <x v="31"/>
    <n v="2000"/>
    <x v="0"/>
    <x v="0"/>
  </r>
  <r>
    <x v="42"/>
    <x v="42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x v="39"/>
    <b v="1"/>
    <x v="0"/>
    <x v="41"/>
    <n v="16930"/>
    <x v="0"/>
    <x v="0"/>
  </r>
  <r>
    <x v="43"/>
    <x v="43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x v="40"/>
    <b v="1"/>
    <x v="0"/>
    <x v="42"/>
    <n v="20433"/>
    <x v="0"/>
    <x v="0"/>
  </r>
  <r>
    <x v="44"/>
    <x v="44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x v="41"/>
    <b v="1"/>
    <x v="0"/>
    <x v="31"/>
    <n v="2000"/>
    <x v="0"/>
    <x v="0"/>
  </r>
  <r>
    <x v="45"/>
    <x v="45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x v="42"/>
    <b v="1"/>
    <x v="0"/>
    <x v="43"/>
    <n v="5500"/>
    <x v="0"/>
    <x v="0"/>
  </r>
  <r>
    <x v="46"/>
    <x v="46"/>
    <s v="The legendary community TV programme Joy's World is in dire need of new equipment! We are hoping you can help."/>
    <n v="8400"/>
    <n v="8750"/>
    <x v="0"/>
    <x v="2"/>
    <x v="2"/>
    <n v="1450220974"/>
    <n v="1447628974"/>
    <b v="0"/>
    <x v="43"/>
    <b v="1"/>
    <x v="0"/>
    <x v="44"/>
    <n v="8575"/>
    <x v="0"/>
    <x v="0"/>
  </r>
  <r>
    <x v="47"/>
    <x v="47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x v="16"/>
    <b v="1"/>
    <x v="0"/>
    <x v="45"/>
    <n v="5190.2749999999996"/>
    <x v="0"/>
    <x v="0"/>
  </r>
  <r>
    <x v="48"/>
    <x v="48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x v="44"/>
    <b v="1"/>
    <x v="0"/>
    <x v="46"/>
    <n v="2079.5"/>
    <x v="0"/>
    <x v="0"/>
  </r>
  <r>
    <x v="49"/>
    <x v="49"/>
    <s v="Driving Jersey is real people telling real stories."/>
    <n v="12000"/>
    <n v="12000"/>
    <x v="0"/>
    <x v="0"/>
    <x v="0"/>
    <n v="1445660045"/>
    <n v="1443068045"/>
    <b v="0"/>
    <x v="45"/>
    <b v="1"/>
    <x v="0"/>
    <x v="31"/>
    <n v="12000"/>
    <x v="0"/>
    <x v="0"/>
  </r>
  <r>
    <x v="50"/>
    <x v="50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x v="19"/>
    <b v="1"/>
    <x v="0"/>
    <x v="31"/>
    <n v="600"/>
    <x v="0"/>
    <x v="0"/>
  </r>
  <r>
    <x v="51"/>
    <x v="51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x v="46"/>
    <b v="1"/>
    <x v="0"/>
    <x v="47"/>
    <n v="12541"/>
    <x v="0"/>
    <x v="0"/>
  </r>
  <r>
    <x v="52"/>
    <x v="52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x v="47"/>
    <b v="1"/>
    <x v="0"/>
    <x v="48"/>
    <n v="10810.5"/>
    <x v="0"/>
    <x v="0"/>
  </r>
  <r>
    <x v="53"/>
    <x v="53"/>
    <s v="Delicious TV's Vegan Mashup launching season two on public television"/>
    <n v="3000"/>
    <n v="3289"/>
    <x v="0"/>
    <x v="0"/>
    <x v="0"/>
    <n v="1396648800"/>
    <n v="1395407445"/>
    <b v="0"/>
    <x v="27"/>
    <b v="1"/>
    <x v="0"/>
    <x v="49"/>
    <n v="3144.5"/>
    <x v="0"/>
    <x v="0"/>
  </r>
  <r>
    <x v="54"/>
    <x v="54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x v="47"/>
    <b v="1"/>
    <x v="0"/>
    <x v="50"/>
    <n v="10050"/>
    <x v="0"/>
    <x v="0"/>
  </r>
  <r>
    <x v="55"/>
    <x v="55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x v="48"/>
    <b v="1"/>
    <x v="0"/>
    <x v="51"/>
    <n v="9845"/>
    <x v="0"/>
    <x v="0"/>
  </r>
  <r>
    <x v="56"/>
    <x v="56"/>
    <s v="We want to see more women's cycling on TV - and we need your help to make it happen!"/>
    <n v="8000"/>
    <n v="8581"/>
    <x v="0"/>
    <x v="1"/>
    <x v="1"/>
    <n v="1433779200"/>
    <n v="1432559424"/>
    <b v="0"/>
    <x v="49"/>
    <b v="1"/>
    <x v="0"/>
    <x v="52"/>
    <n v="8290.5"/>
    <x v="0"/>
    <x v="0"/>
  </r>
  <r>
    <x v="57"/>
    <x v="57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x v="50"/>
    <b v="1"/>
    <x v="0"/>
    <x v="53"/>
    <n v="15142.5"/>
    <x v="0"/>
    <x v="0"/>
  </r>
  <r>
    <x v="58"/>
    <x v="58"/>
    <s v="Alex thought he knew how the world worked. You live, you die and it's over. He was very, very wrong."/>
    <n v="10000"/>
    <n v="10291"/>
    <x v="0"/>
    <x v="0"/>
    <x v="0"/>
    <n v="1416423172"/>
    <n v="1413827572"/>
    <b v="0"/>
    <x v="11"/>
    <b v="1"/>
    <x v="0"/>
    <x v="54"/>
    <n v="10145.5"/>
    <x v="0"/>
    <x v="0"/>
  </r>
  <r>
    <x v="59"/>
    <x v="59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x v="51"/>
    <b v="1"/>
    <x v="0"/>
    <x v="55"/>
    <n v="20012.57"/>
    <x v="0"/>
    <x v="0"/>
  </r>
  <r>
    <x v="60"/>
    <x v="60"/>
    <s v="Set in a beautiful but desolate world, we see how loneliness can lead to friendship in unconventional ways."/>
    <n v="4500"/>
    <n v="4648.33"/>
    <x v="0"/>
    <x v="1"/>
    <x v="1"/>
    <n v="1395532800"/>
    <n v="1393882717"/>
    <b v="0"/>
    <x v="52"/>
    <b v="1"/>
    <x v="1"/>
    <x v="56"/>
    <n v="4574.165"/>
    <x v="0"/>
    <x v="1"/>
  </r>
  <r>
    <x v="61"/>
    <x v="61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x v="23"/>
    <b v="1"/>
    <x v="1"/>
    <x v="57"/>
    <n v="6207.5"/>
    <x v="0"/>
    <x v="1"/>
  </r>
  <r>
    <x v="62"/>
    <x v="62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x v="53"/>
    <b v="1"/>
    <x v="1"/>
    <x v="58"/>
    <n v="3821"/>
    <x v="0"/>
    <x v="1"/>
  </r>
  <r>
    <x v="63"/>
    <x v="63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x v="31"/>
    <b v="1"/>
    <x v="1"/>
    <x v="59"/>
    <n v="2135.1849999999999"/>
    <x v="0"/>
    <x v="1"/>
  </r>
  <r>
    <x v="64"/>
    <x v="64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x v="54"/>
    <b v="1"/>
    <x v="1"/>
    <x v="60"/>
    <n v="1640"/>
    <x v="0"/>
    <x v="1"/>
  </r>
  <r>
    <x v="65"/>
    <x v="65"/>
    <s v="Help finish the short film Hello World. The story of an android in the broken home of a father &amp; son."/>
    <n v="7000"/>
    <n v="7527"/>
    <x v="0"/>
    <x v="5"/>
    <x v="5"/>
    <n v="1407736740"/>
    <n v="1405453354"/>
    <b v="0"/>
    <x v="7"/>
    <b v="1"/>
    <x v="1"/>
    <x v="61"/>
    <n v="7263.5"/>
    <x v="0"/>
    <x v="1"/>
  </r>
  <r>
    <x v="66"/>
    <x v="66"/>
    <s v="A dark comedy set in the '60s about clinical depression and one night stands."/>
    <n v="2000"/>
    <n v="2372"/>
    <x v="0"/>
    <x v="0"/>
    <x v="0"/>
    <n v="1468873420"/>
    <n v="1466281420"/>
    <b v="0"/>
    <x v="55"/>
    <b v="1"/>
    <x v="1"/>
    <x v="62"/>
    <n v="2186"/>
    <x v="0"/>
    <x v="1"/>
  </r>
  <r>
    <x v="67"/>
    <x v="67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x v="9"/>
    <b v="1"/>
    <x v="1"/>
    <x v="63"/>
    <n v="2162.5"/>
    <x v="0"/>
    <x v="1"/>
  </r>
  <r>
    <x v="68"/>
    <x v="68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x v="17"/>
    <b v="1"/>
    <x v="1"/>
    <x v="64"/>
    <n v="681.5"/>
    <x v="0"/>
    <x v="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x v="56"/>
    <b v="1"/>
    <x v="1"/>
    <x v="65"/>
    <n v="10547.115"/>
    <x v="0"/>
    <x v="1"/>
  </r>
  <r>
    <x v="70"/>
    <x v="70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x v="57"/>
    <b v="1"/>
    <x v="1"/>
    <x v="66"/>
    <n v="568"/>
    <x v="0"/>
    <x v="1"/>
  </r>
  <r>
    <x v="71"/>
    <x v="71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x v="58"/>
    <b v="1"/>
    <x v="1"/>
    <x v="67"/>
    <n v="2015.5"/>
    <x v="0"/>
    <x v="1"/>
  </r>
  <r>
    <x v="72"/>
    <x v="72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x v="14"/>
    <b v="1"/>
    <x v="1"/>
    <x v="68"/>
    <n v="2292.5"/>
    <x v="0"/>
    <x v="1"/>
  </r>
  <r>
    <x v="73"/>
    <x v="73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x v="59"/>
    <b v="1"/>
    <x v="1"/>
    <x v="31"/>
    <n v="900"/>
    <x v="0"/>
    <x v="1"/>
  </r>
  <r>
    <x v="74"/>
    <x v="74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x v="60"/>
    <b v="1"/>
    <x v="1"/>
    <x v="69"/>
    <n v="532.32999999999993"/>
    <x v="0"/>
    <x v="1"/>
  </r>
  <r>
    <x v="75"/>
    <x v="75"/>
    <s v="A teenager named Charlie discovers something new about himself while coping with the loss of his father."/>
    <n v="3500"/>
    <n v="4040"/>
    <x v="0"/>
    <x v="0"/>
    <x v="0"/>
    <n v="1366693272"/>
    <n v="1364101272"/>
    <b v="0"/>
    <x v="5"/>
    <b v="1"/>
    <x v="1"/>
    <x v="70"/>
    <n v="3770"/>
    <x v="0"/>
    <x v="1"/>
  </r>
  <r>
    <x v="76"/>
    <x v="76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x v="41"/>
    <b v="1"/>
    <x v="1"/>
    <x v="71"/>
    <n v="380"/>
    <x v="0"/>
    <x v="1"/>
  </r>
  <r>
    <x v="77"/>
    <x v="77"/>
    <s v="A short film about a boy searching for companionship in a hermit crab he finds on the beach."/>
    <n v="400"/>
    <n v="1570"/>
    <x v="0"/>
    <x v="0"/>
    <x v="0"/>
    <n v="1337569140"/>
    <n v="1332991717"/>
    <b v="0"/>
    <x v="55"/>
    <b v="1"/>
    <x v="1"/>
    <x v="72"/>
    <n v="985"/>
    <x v="0"/>
    <x v="1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x v="2"/>
    <b v="1"/>
    <x v="1"/>
    <x v="73"/>
    <n v="700.5"/>
    <x v="0"/>
    <x v="1"/>
  </r>
  <r>
    <x v="79"/>
    <x v="79"/>
    <s v="A short film about life, achieving your dreams, and overcoming hardship. We all have our mountain to climb."/>
    <n v="1300"/>
    <n v="1651"/>
    <x v="0"/>
    <x v="1"/>
    <x v="1"/>
    <n v="1398451093"/>
    <n v="1395859093"/>
    <b v="0"/>
    <x v="14"/>
    <b v="1"/>
    <x v="1"/>
    <x v="74"/>
    <n v="1475.5"/>
    <x v="0"/>
    <x v="1"/>
  </r>
  <r>
    <x v="80"/>
    <x v="80"/>
    <s v="What would you do if you ended up at a swingers party with two dead bodies and $20,000 in drug money?"/>
    <n v="12000"/>
    <n v="12870"/>
    <x v="0"/>
    <x v="0"/>
    <x v="0"/>
    <n v="1386640856"/>
    <n v="1383616856"/>
    <b v="0"/>
    <x v="5"/>
    <b v="1"/>
    <x v="1"/>
    <x v="75"/>
    <n v="12435"/>
    <x v="0"/>
    <x v="1"/>
  </r>
  <r>
    <x v="81"/>
    <x v="81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x v="33"/>
    <b v="1"/>
    <x v="1"/>
    <x v="76"/>
    <n v="1117.5"/>
    <x v="0"/>
    <x v="1"/>
  </r>
  <r>
    <x v="82"/>
    <x v="82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x v="61"/>
    <b v="1"/>
    <x v="1"/>
    <x v="77"/>
    <n v="4000.25"/>
    <x v="0"/>
    <x v="1"/>
  </r>
  <r>
    <x v="83"/>
    <x v="83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x v="62"/>
    <b v="1"/>
    <x v="1"/>
    <x v="78"/>
    <n v="202.5"/>
    <x v="0"/>
    <x v="1"/>
  </r>
  <r>
    <x v="84"/>
    <x v="84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x v="63"/>
    <b v="1"/>
    <x v="1"/>
    <x v="31"/>
    <n v="500"/>
    <x v="0"/>
    <x v="1"/>
  </r>
  <r>
    <x v="85"/>
    <x v="85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x v="64"/>
    <b v="1"/>
    <x v="1"/>
    <x v="79"/>
    <n v="1353"/>
    <x v="0"/>
    <x v="1"/>
  </r>
  <r>
    <x v="86"/>
    <x v="86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x v="57"/>
    <b v="1"/>
    <x v="1"/>
    <x v="80"/>
    <n v="6194"/>
    <x v="0"/>
    <x v="1"/>
  </r>
  <r>
    <x v="87"/>
    <x v="87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x v="20"/>
    <b v="1"/>
    <x v="1"/>
    <x v="81"/>
    <n v="2557.5"/>
    <x v="0"/>
    <x v="1"/>
  </r>
  <r>
    <x v="88"/>
    <x v="88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x v="65"/>
    <b v="1"/>
    <x v="1"/>
    <x v="82"/>
    <n v="3550"/>
    <x v="0"/>
    <x v="1"/>
  </r>
  <r>
    <x v="89"/>
    <x v="89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x v="66"/>
    <b v="1"/>
    <x v="1"/>
    <x v="83"/>
    <n v="6452"/>
    <x v="0"/>
    <x v="1"/>
  </r>
  <r>
    <x v="90"/>
    <x v="90"/>
    <s v="We're looking for funding to help submit a short film to film festivals."/>
    <n v="500"/>
    <n v="502"/>
    <x v="0"/>
    <x v="0"/>
    <x v="0"/>
    <n v="1310454499"/>
    <n v="1307862499"/>
    <b v="0"/>
    <x v="38"/>
    <b v="1"/>
    <x v="1"/>
    <x v="84"/>
    <n v="501"/>
    <x v="0"/>
    <x v="1"/>
  </r>
  <r>
    <x v="91"/>
    <x v="91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x v="67"/>
    <b v="1"/>
    <x v="1"/>
    <x v="43"/>
    <n v="3300"/>
    <x v="0"/>
    <x v="1"/>
  </r>
  <r>
    <x v="92"/>
    <x v="92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x v="68"/>
    <b v="1"/>
    <x v="1"/>
    <x v="85"/>
    <n v="5130"/>
    <x v="0"/>
    <x v="1"/>
  </r>
  <r>
    <x v="93"/>
    <x v="93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x v="41"/>
    <b v="1"/>
    <x v="1"/>
    <x v="86"/>
    <n v="1053"/>
    <x v="0"/>
    <x v="1"/>
  </r>
  <r>
    <x v="94"/>
    <x v="94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x v="8"/>
    <b v="1"/>
    <x v="1"/>
    <x v="87"/>
    <n v="255"/>
    <x v="0"/>
    <x v="1"/>
  </r>
  <r>
    <x v="95"/>
    <x v="95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x v="64"/>
    <b v="1"/>
    <x v="1"/>
    <x v="88"/>
    <n v="405"/>
    <x v="0"/>
    <x v="1"/>
  </r>
  <r>
    <x v="96"/>
    <x v="96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x v="69"/>
    <b v="1"/>
    <x v="1"/>
    <x v="89"/>
    <n v="1610"/>
    <x v="0"/>
    <x v="1"/>
  </r>
  <r>
    <x v="97"/>
    <x v="97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x v="22"/>
    <b v="1"/>
    <x v="1"/>
    <x v="90"/>
    <n v="412.5"/>
    <x v="0"/>
    <x v="1"/>
  </r>
  <r>
    <x v="98"/>
    <x v="98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x v="65"/>
    <b v="1"/>
    <x v="1"/>
    <x v="90"/>
    <n v="3300"/>
    <x v="0"/>
    <x v="1"/>
  </r>
  <r>
    <x v="99"/>
    <x v="99"/>
    <s v="A feminist tale of two girls finally giving a &quot;Nice Guy&quot; what he truly deserves. Also, dancing!"/>
    <n v="1500"/>
    <n v="1590.29"/>
    <x v="0"/>
    <x v="0"/>
    <x v="0"/>
    <n v="1390426799"/>
    <n v="1387834799"/>
    <b v="0"/>
    <x v="70"/>
    <b v="1"/>
    <x v="1"/>
    <x v="91"/>
    <n v="1545.145"/>
    <x v="0"/>
    <x v="1"/>
  </r>
  <r>
    <x v="100"/>
    <x v="100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x v="55"/>
    <b v="1"/>
    <x v="1"/>
    <x v="31"/>
    <n v="5000"/>
    <x v="0"/>
    <x v="1"/>
  </r>
  <r>
    <x v="101"/>
    <x v="101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x v="2"/>
    <b v="1"/>
    <x v="1"/>
    <x v="31"/>
    <n v="3500"/>
    <x v="0"/>
    <x v="1"/>
  </r>
  <r>
    <x v="102"/>
    <x v="102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x v="71"/>
    <b v="1"/>
    <x v="1"/>
    <x v="92"/>
    <n v="6832.5"/>
    <x v="0"/>
    <x v="1"/>
  </r>
  <r>
    <x v="103"/>
    <x v="103"/>
    <s v="Three friends in their twenties are trying to do the impossible - have fun on a casual Friday night."/>
    <n v="1300"/>
    <n v="1367"/>
    <x v="0"/>
    <x v="1"/>
    <x v="1"/>
    <n v="1394220030"/>
    <n v="1392232830"/>
    <b v="0"/>
    <x v="72"/>
    <b v="1"/>
    <x v="1"/>
    <x v="93"/>
    <n v="1333.5"/>
    <x v="0"/>
    <x v="1"/>
  </r>
  <r>
    <x v="104"/>
    <x v="104"/>
    <s v="UCF short film about an old man, his love for music, and his misplaced trumpet.  "/>
    <n v="500"/>
    <n v="600"/>
    <x v="0"/>
    <x v="0"/>
    <x v="0"/>
    <n v="1301792400"/>
    <n v="1299775266"/>
    <b v="0"/>
    <x v="73"/>
    <b v="1"/>
    <x v="1"/>
    <x v="43"/>
    <n v="550"/>
    <x v="0"/>
    <x v="1"/>
  </r>
  <r>
    <x v="105"/>
    <x v="105"/>
    <s v="Single Parent Date Night is a comedic short film about two single parents trying to reentering the dating pool."/>
    <n v="2200"/>
    <n v="2363"/>
    <x v="0"/>
    <x v="0"/>
    <x v="0"/>
    <n v="1463184000"/>
    <n v="1461605020"/>
    <b v="0"/>
    <x v="65"/>
    <b v="1"/>
    <x v="1"/>
    <x v="94"/>
    <n v="2281.5"/>
    <x v="0"/>
    <x v="1"/>
  </r>
  <r>
    <x v="106"/>
    <x v="106"/>
    <s v="A Boy. A Girl. A Car. A Serial Killer."/>
    <n v="5000"/>
    <n v="5025"/>
    <x v="0"/>
    <x v="0"/>
    <x v="0"/>
    <n v="1333391901"/>
    <n v="1332182301"/>
    <b v="0"/>
    <x v="74"/>
    <b v="1"/>
    <x v="1"/>
    <x v="10"/>
    <n v="5012.5"/>
    <x v="0"/>
    <x v="1"/>
  </r>
  <r>
    <x v="107"/>
    <x v="107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x v="50"/>
    <b v="1"/>
    <x v="1"/>
    <x v="95"/>
    <n v="7592.5"/>
    <x v="0"/>
    <x v="1"/>
  </r>
  <r>
    <x v="108"/>
    <x v="108"/>
    <s v="When a man can't find love, his Google GLASS does the searching for him. A short film shot with Google Glass."/>
    <n v="1500"/>
    <n v="3700"/>
    <x v="0"/>
    <x v="0"/>
    <x v="0"/>
    <n v="1370011370"/>
    <n v="1364827370"/>
    <b v="0"/>
    <x v="5"/>
    <b v="1"/>
    <x v="1"/>
    <x v="96"/>
    <n v="2600"/>
    <x v="0"/>
    <x v="1"/>
  </r>
  <r>
    <x v="109"/>
    <x v="109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x v="5"/>
    <b v="1"/>
    <x v="1"/>
    <x v="97"/>
    <n v="1597.5"/>
    <x v="0"/>
    <x v="1"/>
  </r>
  <r>
    <x v="110"/>
    <x v="110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x v="55"/>
    <b v="1"/>
    <x v="1"/>
    <x v="98"/>
    <n v="1500"/>
    <x v="0"/>
    <x v="1"/>
  </r>
  <r>
    <x v="111"/>
    <x v="111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x v="28"/>
    <b v="1"/>
    <x v="1"/>
    <x v="99"/>
    <n v="4455"/>
    <x v="0"/>
    <x v="1"/>
  </r>
  <r>
    <x v="112"/>
    <x v="112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x v="75"/>
    <b v="1"/>
    <x v="1"/>
    <x v="87"/>
    <n v="5100"/>
    <x v="0"/>
    <x v="1"/>
  </r>
  <r>
    <x v="113"/>
    <x v="113"/>
    <s v="A living memorial for all those dealing with trauma, grief and loss."/>
    <n v="5000"/>
    <n v="7050"/>
    <x v="0"/>
    <x v="0"/>
    <x v="0"/>
    <n v="1312642800"/>
    <n v="1311963128"/>
    <b v="0"/>
    <x v="76"/>
    <b v="1"/>
    <x v="1"/>
    <x v="100"/>
    <n v="6025"/>
    <x v="0"/>
    <x v="1"/>
  </r>
  <r>
    <x v="114"/>
    <x v="114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x v="2"/>
    <b v="1"/>
    <x v="1"/>
    <x v="101"/>
    <n v="3050"/>
    <x v="0"/>
    <x v="1"/>
  </r>
  <r>
    <x v="115"/>
    <x v="115"/>
    <s v="Never judge a book (or a lover) by their cover."/>
    <n v="450"/>
    <n v="632"/>
    <x v="0"/>
    <x v="0"/>
    <x v="0"/>
    <n v="1328377444"/>
    <n v="1326217444"/>
    <b v="0"/>
    <x v="19"/>
    <b v="1"/>
    <x v="1"/>
    <x v="102"/>
    <n v="541"/>
    <x v="0"/>
    <x v="1"/>
  </r>
  <r>
    <x v="116"/>
    <x v="116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x v="7"/>
    <b v="1"/>
    <x v="1"/>
    <x v="103"/>
    <n v="3739"/>
    <x v="0"/>
    <x v="1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x v="74"/>
    <b v="1"/>
    <x v="1"/>
    <x v="104"/>
    <n v="4511.1100000000006"/>
    <x v="0"/>
    <x v="1"/>
  </r>
  <r>
    <x v="118"/>
    <x v="118"/>
    <s v="When a ruthless hit-man is 'denounced' from the mafia, his old enemies declare war."/>
    <n v="5000"/>
    <n v="5651.58"/>
    <x v="0"/>
    <x v="0"/>
    <x v="0"/>
    <n v="1311902236"/>
    <n v="1309310236"/>
    <b v="0"/>
    <x v="70"/>
    <b v="1"/>
    <x v="1"/>
    <x v="105"/>
    <n v="5325.79"/>
    <x v="0"/>
    <x v="1"/>
  </r>
  <r>
    <x v="119"/>
    <x v="119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x v="77"/>
    <b v="1"/>
    <x v="1"/>
    <x v="106"/>
    <n v="3324.05"/>
    <x v="0"/>
    <x v="1"/>
  </r>
  <r>
    <x v="120"/>
    <x v="120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x v="29"/>
    <b v="0"/>
    <x v="2"/>
    <x v="107"/>
    <n v="35005"/>
    <x v="0"/>
    <x v="2"/>
  </r>
  <r>
    <x v="121"/>
    <x v="121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x v="29"/>
    <b v="0"/>
    <x v="2"/>
    <x v="108"/>
    <n v="1500.5"/>
    <x v="0"/>
    <x v="2"/>
  </r>
  <r>
    <x v="122"/>
    <x v="122"/>
    <s v="My ambition for this knows no bounds.  Seeing Sephoria in a live-action is a dream of mine."/>
    <n v="100000000"/>
    <n v="0"/>
    <x v="1"/>
    <x v="0"/>
    <x v="0"/>
    <n v="1476094907"/>
    <n v="1470910907"/>
    <b v="0"/>
    <x v="78"/>
    <b v="0"/>
    <x v="2"/>
    <x v="109"/>
    <n v="50000000"/>
    <x v="0"/>
    <x v="2"/>
  </r>
  <r>
    <x v="123"/>
    <x v="123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x v="79"/>
    <b v="0"/>
    <x v="2"/>
    <x v="110"/>
    <n v="27575.5"/>
    <x v="0"/>
    <x v="2"/>
  </r>
  <r>
    <x v="124"/>
    <x v="124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x v="78"/>
    <b v="0"/>
    <x v="2"/>
    <x v="109"/>
    <n v="2000"/>
    <x v="0"/>
    <x v="2"/>
  </r>
  <r>
    <x v="125"/>
    <x v="125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x v="79"/>
    <b v="0"/>
    <x v="2"/>
    <x v="111"/>
    <n v="285"/>
    <x v="0"/>
    <x v="2"/>
  </r>
  <r>
    <x v="126"/>
    <x v="126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x v="62"/>
    <b v="0"/>
    <x v="2"/>
    <x v="112"/>
    <n v="13193.5"/>
    <x v="0"/>
    <x v="2"/>
  </r>
  <r>
    <x v="127"/>
    <x v="127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x v="80"/>
    <b v="0"/>
    <x v="2"/>
    <x v="113"/>
    <n v="4095"/>
    <x v="0"/>
    <x v="2"/>
  </r>
  <r>
    <x v="128"/>
    <x v="128"/>
    <s v="A Science Fiction film filled with entertainment and Excitement"/>
    <n v="100000"/>
    <n v="1867"/>
    <x v="1"/>
    <x v="0"/>
    <x v="0"/>
    <n v="1476941293"/>
    <n v="1473917293"/>
    <b v="0"/>
    <x v="79"/>
    <b v="0"/>
    <x v="2"/>
    <x v="114"/>
    <n v="50933.5"/>
    <x v="0"/>
    <x v="2"/>
  </r>
  <r>
    <x v="129"/>
    <x v="129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x v="78"/>
    <b v="0"/>
    <x v="2"/>
    <x v="109"/>
    <n v="10000"/>
    <x v="0"/>
    <x v="2"/>
  </r>
  <r>
    <x v="130"/>
    <x v="130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x v="78"/>
    <b v="0"/>
    <x v="2"/>
    <x v="109"/>
    <n v="300"/>
    <x v="0"/>
    <x v="2"/>
  </r>
  <r>
    <x v="131"/>
    <x v="131"/>
    <s v="I"/>
    <n v="1200"/>
    <n v="0"/>
    <x v="1"/>
    <x v="0"/>
    <x v="0"/>
    <n v="1467763200"/>
    <n v="1466453161"/>
    <b v="0"/>
    <x v="78"/>
    <b v="0"/>
    <x v="2"/>
    <x v="109"/>
    <n v="600"/>
    <x v="0"/>
    <x v="2"/>
  </r>
  <r>
    <x v="132"/>
    <x v="132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x v="75"/>
    <b v="0"/>
    <x v="2"/>
    <x v="115"/>
    <n v="43827.5"/>
    <x v="0"/>
    <x v="2"/>
  </r>
  <r>
    <x v="133"/>
    <x v="133"/>
    <s v="Invasion from outer space sights, to weird to imagine destruction too monstrous to escape"/>
    <n v="71764"/>
    <n v="0"/>
    <x v="1"/>
    <x v="0"/>
    <x v="0"/>
    <n v="1464715860"/>
    <n v="1462130584"/>
    <b v="0"/>
    <x v="78"/>
    <b v="0"/>
    <x v="2"/>
    <x v="109"/>
    <n v="35882"/>
    <x v="0"/>
    <x v="2"/>
  </r>
  <r>
    <x v="134"/>
    <x v="134"/>
    <s v="steampunk  remake of &quot;a Christmas carol&quot;"/>
    <n v="5000"/>
    <n v="0"/>
    <x v="1"/>
    <x v="0"/>
    <x v="0"/>
    <n v="1441386000"/>
    <n v="1438811418"/>
    <b v="0"/>
    <x v="78"/>
    <b v="0"/>
    <x v="2"/>
    <x v="109"/>
    <n v="2500"/>
    <x v="0"/>
    <x v="2"/>
  </r>
  <r>
    <x v="135"/>
    <x v="135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x v="81"/>
    <b v="0"/>
    <x v="2"/>
    <x v="116"/>
    <n v="1701.5"/>
    <x v="0"/>
    <x v="2"/>
  </r>
  <r>
    <x v="136"/>
    <x v="136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x v="78"/>
    <b v="0"/>
    <x v="2"/>
    <x v="109"/>
    <n v="1500"/>
    <x v="0"/>
    <x v="2"/>
  </r>
  <r>
    <x v="137"/>
    <x v="137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x v="78"/>
    <b v="0"/>
    <x v="2"/>
    <x v="109"/>
    <n v="27500"/>
    <x v="0"/>
    <x v="2"/>
  </r>
  <r>
    <x v="138"/>
    <x v="138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x v="6"/>
    <b v="0"/>
    <x v="2"/>
    <x v="117"/>
    <n v="77356"/>
    <x v="0"/>
    <x v="2"/>
  </r>
  <r>
    <x v="139"/>
    <x v="139"/>
    <s v="When  Rome is infected with a zombie plague, Lucius Agrippa and a small group fights for survival"/>
    <n v="500"/>
    <n v="500"/>
    <x v="1"/>
    <x v="0"/>
    <x v="0"/>
    <n v="1436738772"/>
    <n v="1435874772"/>
    <b v="0"/>
    <x v="29"/>
    <b v="0"/>
    <x v="2"/>
    <x v="31"/>
    <n v="500"/>
    <x v="0"/>
    <x v="2"/>
  </r>
  <r>
    <x v="140"/>
    <x v="140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x v="78"/>
    <b v="0"/>
    <x v="2"/>
    <x v="109"/>
    <n v="100000"/>
    <x v="0"/>
    <x v="2"/>
  </r>
  <r>
    <x v="141"/>
    <x v="141"/>
    <s v="Join us creating a Science Fiction TV Series based upon the popular novels -The Catherine Kimbridge Chronicles."/>
    <n v="12000"/>
    <n v="1293"/>
    <x v="1"/>
    <x v="0"/>
    <x v="0"/>
    <n v="1433043623"/>
    <n v="1429155623"/>
    <b v="0"/>
    <x v="33"/>
    <b v="0"/>
    <x v="2"/>
    <x v="118"/>
    <n v="6646.5"/>
    <x v="0"/>
    <x v="2"/>
  </r>
  <r>
    <x v="142"/>
    <x v="142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x v="29"/>
    <b v="0"/>
    <x v="2"/>
    <x v="119"/>
    <n v="1505"/>
    <x v="0"/>
    <x v="2"/>
  </r>
  <r>
    <x v="143"/>
    <x v="143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x v="78"/>
    <b v="0"/>
    <x v="2"/>
    <x v="109"/>
    <n v="2750"/>
    <x v="0"/>
    <x v="2"/>
  </r>
  <r>
    <x v="144"/>
    <x v="144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x v="77"/>
    <b v="0"/>
    <x v="2"/>
    <x v="120"/>
    <n v="4785"/>
    <x v="0"/>
    <x v="2"/>
  </r>
  <r>
    <x v="145"/>
    <x v="145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x v="82"/>
    <b v="0"/>
    <x v="2"/>
    <x v="121"/>
    <n v="2419"/>
    <x v="0"/>
    <x v="2"/>
  </r>
  <r>
    <x v="146"/>
    <x v="146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x v="83"/>
    <b v="0"/>
    <x v="2"/>
    <x v="122"/>
    <n v="10057.5"/>
    <x v="0"/>
    <x v="2"/>
  </r>
  <r>
    <x v="147"/>
    <x v="147"/>
    <s v="Film makers catch live footage beyond their wildest dreams."/>
    <n v="7000"/>
    <n v="0"/>
    <x v="1"/>
    <x v="1"/>
    <x v="1"/>
    <n v="1420741080"/>
    <n v="1417026340"/>
    <b v="0"/>
    <x v="78"/>
    <b v="0"/>
    <x v="2"/>
    <x v="109"/>
    <n v="3500"/>
    <x v="0"/>
    <x v="2"/>
  </r>
  <r>
    <x v="148"/>
    <x v="148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x v="84"/>
    <b v="0"/>
    <x v="2"/>
    <x v="123"/>
    <n v="25020"/>
    <x v="0"/>
    <x v="2"/>
  </r>
  <r>
    <x v="149"/>
    <x v="149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x v="79"/>
    <b v="0"/>
    <x v="2"/>
    <x v="124"/>
    <n v="5046"/>
    <x v="0"/>
    <x v="2"/>
  </r>
  <r>
    <x v="150"/>
    <x v="150"/>
    <s v="The untold story of Captain Robert April and the first launching of the starship U.S.S. Enterprise,  NCC-1701"/>
    <n v="130000"/>
    <n v="30112"/>
    <x v="1"/>
    <x v="0"/>
    <x v="0"/>
    <n v="1432612382"/>
    <n v="1427428382"/>
    <b v="0"/>
    <x v="85"/>
    <b v="0"/>
    <x v="2"/>
    <x v="125"/>
    <n v="80056"/>
    <x v="0"/>
    <x v="2"/>
  </r>
  <r>
    <x v="151"/>
    <x v="151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x v="81"/>
    <b v="0"/>
    <x v="2"/>
    <x v="126"/>
    <n v="125070"/>
    <x v="0"/>
    <x v="2"/>
  </r>
  <r>
    <x v="152"/>
    <x v="152"/>
    <s v="The Great Dark is a journey through the unimaginable...and un foreseeable..."/>
    <n v="380000"/>
    <n v="30"/>
    <x v="1"/>
    <x v="0"/>
    <x v="0"/>
    <n v="1411437100"/>
    <n v="1408845100"/>
    <b v="0"/>
    <x v="84"/>
    <b v="0"/>
    <x v="2"/>
    <x v="127"/>
    <n v="190015"/>
    <x v="0"/>
    <x v="2"/>
  </r>
  <r>
    <x v="153"/>
    <x v="153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x v="73"/>
    <b v="0"/>
    <x v="2"/>
    <x v="128"/>
    <n v="25179.5"/>
    <x v="0"/>
    <x v="2"/>
  </r>
  <r>
    <x v="154"/>
    <x v="154"/>
    <s v="Fiction Becomes Reality in this non-profit science fiction, stop motion, and fantasy fan film."/>
    <n v="1500"/>
    <n v="40"/>
    <x v="1"/>
    <x v="0"/>
    <x v="0"/>
    <n v="1433336895"/>
    <n v="1429621695"/>
    <b v="0"/>
    <x v="83"/>
    <b v="0"/>
    <x v="2"/>
    <x v="129"/>
    <n v="770"/>
    <x v="0"/>
    <x v="2"/>
  </r>
  <r>
    <x v="155"/>
    <x v="155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x v="80"/>
    <b v="0"/>
    <x v="2"/>
    <x v="130"/>
    <n v="675040.5"/>
    <x v="0"/>
    <x v="2"/>
  </r>
  <r>
    <x v="156"/>
    <x v="156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x v="41"/>
    <b v="0"/>
    <x v="2"/>
    <x v="131"/>
    <n v="18392.5"/>
    <x v="0"/>
    <x v="2"/>
  </r>
  <r>
    <x v="157"/>
    <x v="157"/>
    <s v="Man's cryogenic chamber and his soulmate's time travel from the distant future allows them to meet in the middle."/>
    <n v="2995"/>
    <n v="8"/>
    <x v="1"/>
    <x v="0"/>
    <x v="0"/>
    <n v="1456523572"/>
    <n v="1453931572"/>
    <b v="0"/>
    <x v="84"/>
    <b v="0"/>
    <x v="2"/>
    <x v="132"/>
    <n v="1501.5"/>
    <x v="0"/>
    <x v="2"/>
  </r>
  <r>
    <x v="158"/>
    <x v="158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x v="78"/>
    <b v="0"/>
    <x v="2"/>
    <x v="109"/>
    <n v="2500"/>
    <x v="0"/>
    <x v="2"/>
  </r>
  <r>
    <x v="159"/>
    <x v="159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x v="29"/>
    <b v="0"/>
    <x v="2"/>
    <x v="133"/>
    <n v="250005"/>
    <x v="0"/>
    <x v="2"/>
  </r>
  <r>
    <x v="160"/>
    <x v="160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x v="78"/>
    <b v="0"/>
    <x v="3"/>
    <x v="109"/>
    <n v="2500"/>
    <x v="0"/>
    <x v="3"/>
  </r>
  <r>
    <x v="161"/>
    <x v="161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x v="29"/>
    <b v="0"/>
    <x v="3"/>
    <x v="134"/>
    <n v="25002.5"/>
    <x v="0"/>
    <x v="3"/>
  </r>
  <r>
    <x v="162"/>
    <x v="162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x v="73"/>
    <b v="0"/>
    <x v="3"/>
    <x v="135"/>
    <n v="1617.5"/>
    <x v="0"/>
    <x v="3"/>
  </r>
  <r>
    <x v="163"/>
    <x v="163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x v="78"/>
    <b v="0"/>
    <x v="3"/>
    <x v="109"/>
    <n v="1000000"/>
    <x v="0"/>
    <x v="3"/>
  </r>
  <r>
    <x v="164"/>
    <x v="164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x v="63"/>
    <b v="0"/>
    <x v="3"/>
    <x v="136"/>
    <n v="60320"/>
    <x v="0"/>
    <x v="3"/>
  </r>
  <r>
    <x v="165"/>
    <x v="165"/>
    <s v="A teacher. A boy. The beach and a heatwave that drove them all insane."/>
    <n v="17000"/>
    <n v="0"/>
    <x v="2"/>
    <x v="1"/>
    <x v="1"/>
    <n v="1452613724"/>
    <n v="1450021724"/>
    <b v="0"/>
    <x v="78"/>
    <b v="0"/>
    <x v="3"/>
    <x v="109"/>
    <n v="8500"/>
    <x v="0"/>
    <x v="3"/>
  </r>
  <r>
    <x v="166"/>
    <x v="166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x v="29"/>
    <b v="0"/>
    <x v="3"/>
    <x v="137"/>
    <n v="4000"/>
    <x v="0"/>
    <x v="3"/>
  </r>
  <r>
    <x v="167"/>
    <x v="167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x v="84"/>
    <b v="0"/>
    <x v="3"/>
    <x v="134"/>
    <n v="55005.5"/>
    <x v="0"/>
    <x v="3"/>
  </r>
  <r>
    <x v="168"/>
    <x v="168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x v="83"/>
    <b v="0"/>
    <x v="3"/>
    <x v="138"/>
    <n v="4162.5"/>
    <x v="0"/>
    <x v="3"/>
  </r>
  <r>
    <x v="169"/>
    <x v="169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x v="73"/>
    <b v="0"/>
    <x v="3"/>
    <x v="139"/>
    <n v="1530"/>
    <x v="0"/>
    <x v="3"/>
  </r>
  <r>
    <x v="170"/>
    <x v="170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x v="73"/>
    <b v="0"/>
    <x v="3"/>
    <x v="140"/>
    <n v="5162.5"/>
    <x v="0"/>
    <x v="3"/>
  </r>
  <r>
    <x v="171"/>
    <x v="171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x v="29"/>
    <b v="0"/>
    <x v="3"/>
    <x v="133"/>
    <n v="25000.5"/>
    <x v="0"/>
    <x v="3"/>
  </r>
  <r>
    <x v="172"/>
    <x v="172"/>
    <s v="A short film on the rarest mammal and the second most endangered freshwater river dolphin, in Pakistan."/>
    <n v="95000"/>
    <n v="0"/>
    <x v="2"/>
    <x v="0"/>
    <x v="0"/>
    <n v="1426753723"/>
    <n v="1423733323"/>
    <b v="0"/>
    <x v="78"/>
    <b v="0"/>
    <x v="3"/>
    <x v="109"/>
    <n v="47500"/>
    <x v="0"/>
    <x v="3"/>
  </r>
  <r>
    <x v="173"/>
    <x v="173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x v="78"/>
    <b v="0"/>
    <x v="3"/>
    <x v="109"/>
    <n v="555"/>
    <x v="0"/>
    <x v="3"/>
  </r>
  <r>
    <x v="174"/>
    <x v="174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x v="78"/>
    <b v="0"/>
    <x v="3"/>
    <x v="109"/>
    <n v="3000"/>
    <x v="0"/>
    <x v="3"/>
  </r>
  <r>
    <x v="175"/>
    <x v="175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x v="55"/>
    <b v="0"/>
    <x v="3"/>
    <x v="141"/>
    <n v="10648.5"/>
    <x v="0"/>
    <x v="3"/>
  </r>
  <r>
    <x v="176"/>
    <x v="176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x v="78"/>
    <b v="0"/>
    <x v="3"/>
    <x v="109"/>
    <n v="750"/>
    <x v="0"/>
    <x v="3"/>
  </r>
  <r>
    <x v="177"/>
    <x v="177"/>
    <s v="I'm making a modern day version of the bible story &quot; The Good Samaritan&quot;"/>
    <n v="450"/>
    <n v="180"/>
    <x v="2"/>
    <x v="0"/>
    <x v="0"/>
    <n v="1427155726"/>
    <n v="1425690526"/>
    <b v="0"/>
    <x v="63"/>
    <b v="0"/>
    <x v="3"/>
    <x v="142"/>
    <n v="315"/>
    <x v="0"/>
    <x v="3"/>
  </r>
  <r>
    <x v="178"/>
    <x v="178"/>
    <s v="El viaje de LucÃ­a es un largometraje de ficciÃ³n con temÃ¡tica sobre el cÃ¡ncer infantil."/>
    <n v="500000"/>
    <n v="0"/>
    <x v="2"/>
    <x v="3"/>
    <x v="3"/>
    <n v="1448582145"/>
    <n v="1445986545"/>
    <b v="0"/>
    <x v="78"/>
    <b v="0"/>
    <x v="3"/>
    <x v="109"/>
    <n v="250000"/>
    <x v="0"/>
    <x v="3"/>
  </r>
  <r>
    <x v="179"/>
    <x v="179"/>
    <s v="A feature-length film about how three people survive in a diseased world."/>
    <n v="1000"/>
    <n v="200"/>
    <x v="2"/>
    <x v="0"/>
    <x v="0"/>
    <n v="1457056555"/>
    <n v="1454464555"/>
    <b v="0"/>
    <x v="84"/>
    <b v="0"/>
    <x v="3"/>
    <x v="143"/>
    <n v="600"/>
    <x v="0"/>
    <x v="3"/>
  </r>
  <r>
    <x v="180"/>
    <x v="180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x v="62"/>
    <b v="0"/>
    <x v="3"/>
    <x v="144"/>
    <n v="800.5"/>
    <x v="0"/>
    <x v="3"/>
  </r>
  <r>
    <x v="181"/>
    <x v="181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x v="80"/>
    <b v="0"/>
    <x v="3"/>
    <x v="145"/>
    <n v="2072.5"/>
    <x v="0"/>
    <x v="3"/>
  </r>
  <r>
    <x v="182"/>
    <x v="182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x v="78"/>
    <b v="0"/>
    <x v="3"/>
    <x v="109"/>
    <n v="500"/>
    <x v="0"/>
    <x v="3"/>
  </r>
  <r>
    <x v="183"/>
    <x v="183"/>
    <s v="Don't kill me until I meet my Dad"/>
    <n v="12500"/>
    <n v="4482"/>
    <x v="2"/>
    <x v="1"/>
    <x v="1"/>
    <n v="1417033610"/>
    <n v="1414438010"/>
    <b v="0"/>
    <x v="8"/>
    <b v="0"/>
    <x v="3"/>
    <x v="146"/>
    <n v="8491"/>
    <x v="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x v="84"/>
    <b v="0"/>
    <x v="3"/>
    <x v="147"/>
    <n v="775.5"/>
    <x v="0"/>
    <x v="3"/>
  </r>
  <r>
    <x v="185"/>
    <x v="185"/>
    <s v="Love has no boundaries!"/>
    <n v="40000"/>
    <n v="2200"/>
    <x v="2"/>
    <x v="10"/>
    <x v="8"/>
    <n v="1471557139"/>
    <n v="1468965139"/>
    <b v="0"/>
    <x v="73"/>
    <b v="0"/>
    <x v="3"/>
    <x v="148"/>
    <n v="21100"/>
    <x v="0"/>
    <x v="3"/>
  </r>
  <r>
    <x v="186"/>
    <x v="186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x v="78"/>
    <b v="0"/>
    <x v="3"/>
    <x v="109"/>
    <n v="2500"/>
    <x v="0"/>
    <x v="3"/>
  </r>
  <r>
    <x v="187"/>
    <x v="187"/>
    <s v="A young man suffering from a severe case of OCD embarks on a road trip to find peace of mind."/>
    <n v="5000"/>
    <n v="800"/>
    <x v="2"/>
    <x v="0"/>
    <x v="0"/>
    <n v="1437461940"/>
    <n v="1435383457"/>
    <b v="0"/>
    <x v="81"/>
    <b v="0"/>
    <x v="3"/>
    <x v="149"/>
    <n v="2900"/>
    <x v="0"/>
    <x v="3"/>
  </r>
  <r>
    <x v="188"/>
    <x v="188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x v="78"/>
    <b v="0"/>
    <x v="3"/>
    <x v="109"/>
    <n v="750"/>
    <x v="0"/>
    <x v="3"/>
  </r>
  <r>
    <x v="189"/>
    <x v="189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x v="81"/>
    <b v="0"/>
    <x v="3"/>
    <x v="150"/>
    <n v="250172.5"/>
    <x v="0"/>
    <x v="3"/>
  </r>
  <r>
    <x v="190"/>
    <x v="190"/>
    <s v="Because hope can be a 4 letter word"/>
    <n v="12000"/>
    <n v="50"/>
    <x v="2"/>
    <x v="0"/>
    <x v="0"/>
    <n v="1466091446"/>
    <n v="1465227446"/>
    <b v="0"/>
    <x v="29"/>
    <b v="0"/>
    <x v="3"/>
    <x v="151"/>
    <n v="6025"/>
    <x v="0"/>
    <x v="3"/>
  </r>
  <r>
    <x v="191"/>
    <x v="191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x v="83"/>
    <b v="0"/>
    <x v="3"/>
    <x v="152"/>
    <n v="2625"/>
    <x v="0"/>
    <x v="3"/>
  </r>
  <r>
    <x v="192"/>
    <x v="192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x v="83"/>
    <b v="0"/>
    <x v="3"/>
    <x v="153"/>
    <n v="500008.5"/>
    <x v="0"/>
    <x v="3"/>
  </r>
  <r>
    <x v="193"/>
    <x v="193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x v="78"/>
    <b v="0"/>
    <x v="3"/>
    <x v="109"/>
    <n v="500"/>
    <x v="0"/>
    <x v="3"/>
  </r>
  <r>
    <x v="194"/>
    <x v="194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x v="83"/>
    <b v="0"/>
    <x v="3"/>
    <x v="154"/>
    <n v="1251.5"/>
    <x v="0"/>
    <x v="3"/>
  </r>
  <r>
    <x v="195"/>
    <x v="195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x v="78"/>
    <b v="0"/>
    <x v="3"/>
    <x v="109"/>
    <n v="1000000"/>
    <x v="0"/>
    <x v="3"/>
  </r>
  <r>
    <x v="196"/>
    <x v="196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x v="10"/>
    <b v="0"/>
    <x v="3"/>
    <x v="155"/>
    <n v="2482.5"/>
    <x v="0"/>
    <x v="3"/>
  </r>
  <r>
    <x v="197"/>
    <x v="197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x v="22"/>
    <b v="0"/>
    <x v="3"/>
    <x v="156"/>
    <n v="1381"/>
    <x v="0"/>
    <x v="3"/>
  </r>
  <r>
    <x v="198"/>
    <x v="198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x v="79"/>
    <b v="0"/>
    <x v="3"/>
    <x v="157"/>
    <n v="12639.5"/>
    <x v="0"/>
    <x v="3"/>
  </r>
  <r>
    <x v="199"/>
    <x v="199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x v="78"/>
    <b v="0"/>
    <x v="3"/>
    <x v="109"/>
    <n v="5000"/>
    <x v="0"/>
    <x v="3"/>
  </r>
  <r>
    <x v="200"/>
    <x v="200"/>
    <s v="A film dedicated to an AAF Pilot's struggle to survive behind enemy lines during WWII."/>
    <n v="6000"/>
    <n v="1571.55"/>
    <x v="2"/>
    <x v="0"/>
    <x v="0"/>
    <n v="1410746403"/>
    <n v="1408154403"/>
    <b v="0"/>
    <x v="59"/>
    <b v="0"/>
    <x v="3"/>
    <x v="158"/>
    <n v="3785.7750000000001"/>
    <x v="0"/>
    <x v="3"/>
  </r>
  <r>
    <x v="201"/>
    <x v="201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x v="63"/>
    <b v="0"/>
    <x v="3"/>
    <x v="159"/>
    <n v="515"/>
    <x v="0"/>
    <x v="3"/>
  </r>
  <r>
    <x v="202"/>
    <x v="202"/>
    <s v="new web series created by jonney terry"/>
    <n v="6000"/>
    <n v="0"/>
    <x v="2"/>
    <x v="0"/>
    <x v="0"/>
    <n v="1444337940"/>
    <n v="1441750564"/>
    <b v="0"/>
    <x v="78"/>
    <b v="0"/>
    <x v="3"/>
    <x v="109"/>
    <n v="3000"/>
    <x v="0"/>
    <x v="3"/>
  </r>
  <r>
    <x v="203"/>
    <x v="203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x v="22"/>
    <b v="0"/>
    <x v="3"/>
    <x v="160"/>
    <n v="1623"/>
    <x v="0"/>
    <x v="3"/>
  </r>
  <r>
    <x v="204"/>
    <x v="204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x v="86"/>
    <b v="0"/>
    <x v="3"/>
    <x v="161"/>
    <n v="226082.5"/>
    <x v="0"/>
    <x v="3"/>
  </r>
  <r>
    <x v="205"/>
    <x v="205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x v="57"/>
    <b v="0"/>
    <x v="3"/>
    <x v="162"/>
    <n v="4650"/>
    <x v="0"/>
    <x v="3"/>
  </r>
  <r>
    <x v="206"/>
    <x v="206"/>
    <s v="A love story featuring adoption,struggle,dysfunction,grace, healing, and restoration."/>
    <n v="12700"/>
    <n v="0"/>
    <x v="2"/>
    <x v="0"/>
    <x v="0"/>
    <n v="1470441983"/>
    <n v="1468627583"/>
    <b v="0"/>
    <x v="78"/>
    <b v="0"/>
    <x v="3"/>
    <x v="109"/>
    <n v="6350"/>
    <x v="0"/>
    <x v="3"/>
  </r>
  <r>
    <x v="207"/>
    <x v="207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x v="62"/>
    <b v="0"/>
    <x v="3"/>
    <x v="163"/>
    <n v="8065"/>
    <x v="0"/>
    <x v="3"/>
  </r>
  <r>
    <x v="208"/>
    <x v="208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x v="78"/>
    <b v="0"/>
    <x v="3"/>
    <x v="109"/>
    <n v="25000"/>
    <x v="0"/>
    <x v="3"/>
  </r>
  <r>
    <x v="209"/>
    <x v="209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x v="78"/>
    <b v="0"/>
    <x v="3"/>
    <x v="109"/>
    <n v="12500"/>
    <x v="0"/>
    <x v="3"/>
  </r>
  <r>
    <x v="210"/>
    <x v="210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x v="51"/>
    <b v="0"/>
    <x v="3"/>
    <x v="164"/>
    <n v="7515"/>
    <x v="0"/>
    <x v="3"/>
  </r>
  <r>
    <x v="211"/>
    <x v="211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x v="8"/>
    <b v="0"/>
    <x v="3"/>
    <x v="165"/>
    <n v="3615"/>
    <x v="0"/>
    <x v="3"/>
  </r>
  <r>
    <x v="212"/>
    <x v="212"/>
    <s v="This film is a fictional crime drama following the events of a heist that ended in bloodshed."/>
    <n v="6300"/>
    <n v="1"/>
    <x v="2"/>
    <x v="0"/>
    <x v="0"/>
    <n v="1460837320"/>
    <n v="1455656920"/>
    <b v="0"/>
    <x v="29"/>
    <b v="0"/>
    <x v="3"/>
    <x v="166"/>
    <n v="3150.5"/>
    <x v="0"/>
    <x v="3"/>
  </r>
  <r>
    <x v="213"/>
    <x v="213"/>
    <s v="A family dramedy about a grandfather  and grandson who are both on their path to redemption."/>
    <n v="50000"/>
    <n v="20"/>
    <x v="2"/>
    <x v="0"/>
    <x v="0"/>
    <n v="1439734001"/>
    <n v="1437142547"/>
    <b v="0"/>
    <x v="29"/>
    <b v="0"/>
    <x v="3"/>
    <x v="167"/>
    <n v="25010"/>
    <x v="0"/>
    <x v="3"/>
  </r>
  <r>
    <x v="214"/>
    <x v="214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x v="29"/>
    <b v="0"/>
    <x v="3"/>
    <x v="168"/>
    <n v="6250.5"/>
    <x v="0"/>
    <x v="3"/>
  </r>
  <r>
    <x v="215"/>
    <x v="215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x v="29"/>
    <b v="0"/>
    <x v="3"/>
    <x v="169"/>
    <n v="2205"/>
    <x v="0"/>
    <x v="3"/>
  </r>
  <r>
    <x v="216"/>
    <x v="216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x v="87"/>
    <b v="0"/>
    <x v="3"/>
    <x v="170"/>
    <n v="38924.61"/>
    <x v="0"/>
    <x v="3"/>
  </r>
  <r>
    <x v="217"/>
    <x v="217"/>
    <s v="A roadmovie by paw"/>
    <n v="100000"/>
    <n v="11943"/>
    <x v="2"/>
    <x v="11"/>
    <x v="9"/>
    <n v="1419780149"/>
    <n v="1417101749"/>
    <b v="0"/>
    <x v="44"/>
    <b v="0"/>
    <x v="3"/>
    <x v="171"/>
    <n v="55971.5"/>
    <x v="0"/>
    <x v="3"/>
  </r>
  <r>
    <x v="218"/>
    <x v="218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x v="29"/>
    <b v="0"/>
    <x v="3"/>
    <x v="172"/>
    <n v="2550"/>
    <x v="0"/>
    <x v="3"/>
  </r>
  <r>
    <x v="219"/>
    <x v="219"/>
    <s v="An hour-long pilot about a group of suburban LGBT teens coming of age in the early 90's."/>
    <n v="50000"/>
    <n v="8815"/>
    <x v="2"/>
    <x v="0"/>
    <x v="0"/>
    <n v="1459493940"/>
    <n v="1456732225"/>
    <b v="0"/>
    <x v="88"/>
    <b v="0"/>
    <x v="3"/>
    <x v="173"/>
    <n v="29407.5"/>
    <x v="0"/>
    <x v="3"/>
  </r>
  <r>
    <x v="220"/>
    <x v="220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x v="83"/>
    <b v="0"/>
    <x v="3"/>
    <x v="174"/>
    <n v="25180"/>
    <x v="0"/>
    <x v="3"/>
  </r>
  <r>
    <x v="221"/>
    <x v="221"/>
    <s v="Film about Schizophrenia with Surreal Twists!"/>
    <n v="50000"/>
    <n v="0"/>
    <x v="2"/>
    <x v="0"/>
    <x v="0"/>
    <n v="1427569564"/>
    <n v="1422389164"/>
    <b v="0"/>
    <x v="78"/>
    <b v="0"/>
    <x v="3"/>
    <x v="109"/>
    <n v="25000"/>
    <x v="0"/>
    <x v="3"/>
  </r>
  <r>
    <x v="222"/>
    <x v="222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x v="84"/>
    <b v="0"/>
    <x v="3"/>
    <x v="175"/>
    <n v="565"/>
    <x v="0"/>
    <x v="3"/>
  </r>
  <r>
    <x v="223"/>
    <x v="223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x v="78"/>
    <b v="0"/>
    <x v="3"/>
    <x v="109"/>
    <n v="750000"/>
    <x v="0"/>
    <x v="3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x v="78"/>
    <b v="0"/>
    <x v="3"/>
    <x v="109"/>
    <n v="3000000"/>
    <x v="0"/>
    <x v="3"/>
  </r>
  <r>
    <x v="225"/>
    <x v="225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x v="78"/>
    <b v="0"/>
    <x v="3"/>
    <x v="109"/>
    <n v="100"/>
    <x v="0"/>
    <x v="3"/>
  </r>
  <r>
    <x v="226"/>
    <x v="226"/>
    <s v="A TRUE STORY OF DOMESTIC VILOLENCE THAT SEEKS TO OFFER THE VIEWER OUTLEST OF SUPPORT."/>
    <n v="29000"/>
    <n v="250"/>
    <x v="2"/>
    <x v="1"/>
    <x v="1"/>
    <n v="1433064540"/>
    <n v="1428854344"/>
    <b v="0"/>
    <x v="84"/>
    <b v="0"/>
    <x v="3"/>
    <x v="176"/>
    <n v="14625"/>
    <x v="0"/>
    <x v="3"/>
  </r>
  <r>
    <x v="227"/>
    <x v="227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x v="78"/>
    <b v="0"/>
    <x v="3"/>
    <x v="109"/>
    <n v="14000"/>
    <x v="0"/>
    <x v="3"/>
  </r>
  <r>
    <x v="228"/>
    <x v="228"/>
    <s v="I am making a film from one one of my books called facets of a Geek life."/>
    <n v="8000"/>
    <n v="0"/>
    <x v="2"/>
    <x v="1"/>
    <x v="1"/>
    <n v="1433176105"/>
    <n v="1427992105"/>
    <b v="0"/>
    <x v="78"/>
    <b v="0"/>
    <x v="3"/>
    <x v="109"/>
    <n v="4000"/>
    <x v="0"/>
    <x v="3"/>
  </r>
  <r>
    <x v="229"/>
    <x v="229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x v="78"/>
    <b v="0"/>
    <x v="3"/>
    <x v="109"/>
    <n v="1500"/>
    <x v="0"/>
    <x v="3"/>
  </r>
  <r>
    <x v="230"/>
    <x v="230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x v="84"/>
    <b v="0"/>
    <x v="3"/>
    <x v="177"/>
    <n v="7530"/>
    <x v="0"/>
    <x v="3"/>
  </r>
  <r>
    <x v="231"/>
    <x v="231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x v="78"/>
    <b v="0"/>
    <x v="3"/>
    <x v="109"/>
    <n v="750000"/>
    <x v="0"/>
    <x v="3"/>
  </r>
  <r>
    <x v="232"/>
    <x v="232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x v="63"/>
    <b v="0"/>
    <x v="3"/>
    <x v="178"/>
    <n v="2055"/>
    <x v="0"/>
    <x v="3"/>
  </r>
  <r>
    <x v="233"/>
    <x v="233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x v="78"/>
    <b v="0"/>
    <x v="3"/>
    <x v="109"/>
    <n v="175000"/>
    <x v="0"/>
    <x v="3"/>
  </r>
  <r>
    <x v="234"/>
    <x v="234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x v="81"/>
    <b v="0"/>
    <x v="3"/>
    <x v="179"/>
    <n v="700.5"/>
    <x v="0"/>
    <x v="3"/>
  </r>
  <r>
    <x v="235"/>
    <x v="235"/>
    <s v="Taking people on a deep emotional trip with a story about sometimes those who have less, give more."/>
    <n v="10000"/>
    <n v="0"/>
    <x v="2"/>
    <x v="0"/>
    <x v="0"/>
    <n v="1436478497"/>
    <n v="1433886497"/>
    <b v="0"/>
    <x v="78"/>
    <b v="0"/>
    <x v="3"/>
    <x v="109"/>
    <n v="5000"/>
    <x v="0"/>
    <x v="3"/>
  </r>
  <r>
    <x v="236"/>
    <x v="236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x v="78"/>
    <b v="0"/>
    <x v="3"/>
    <x v="109"/>
    <n v="75000"/>
    <x v="0"/>
    <x v="3"/>
  </r>
  <r>
    <x v="237"/>
    <x v="237"/>
    <s v="Making The Choice is a christian short film series."/>
    <n v="15000"/>
    <n v="50"/>
    <x v="2"/>
    <x v="0"/>
    <x v="0"/>
    <n v="1457445069"/>
    <n v="1452261069"/>
    <b v="0"/>
    <x v="29"/>
    <b v="0"/>
    <x v="3"/>
    <x v="119"/>
    <n v="7525"/>
    <x v="0"/>
    <x v="3"/>
  </r>
  <r>
    <x v="238"/>
    <x v="238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x v="78"/>
    <b v="0"/>
    <x v="3"/>
    <x v="109"/>
    <n v="13000"/>
    <x v="0"/>
    <x v="3"/>
  </r>
  <r>
    <x v="239"/>
    <x v="239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x v="81"/>
    <b v="0"/>
    <x v="3"/>
    <x v="180"/>
    <n v="625"/>
    <x v="0"/>
    <x v="3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x v="89"/>
    <b v="1"/>
    <x v="4"/>
    <x v="181"/>
    <n v="15572.560000000001"/>
    <x v="0"/>
    <x v="4"/>
  </r>
  <r>
    <x v="241"/>
    <x v="241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x v="90"/>
    <b v="1"/>
    <x v="4"/>
    <x v="182"/>
    <n v="38700"/>
    <x v="0"/>
    <x v="4"/>
  </r>
  <r>
    <x v="242"/>
    <x v="242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x v="91"/>
    <b v="1"/>
    <x v="4"/>
    <x v="183"/>
    <n v="13875"/>
    <x v="0"/>
    <x v="4"/>
  </r>
  <r>
    <x v="243"/>
    <x v="243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x v="92"/>
    <b v="1"/>
    <x v="4"/>
    <x v="184"/>
    <n v="25324"/>
    <x v="0"/>
    <x v="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x v="87"/>
    <b v="1"/>
    <x v="4"/>
    <x v="185"/>
    <n v="3740.75"/>
    <x v="0"/>
    <x v="4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x v="93"/>
    <b v="1"/>
    <x v="4"/>
    <x v="186"/>
    <n v="5093"/>
    <x v="0"/>
    <x v="4"/>
  </r>
  <r>
    <x v="246"/>
    <x v="246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x v="94"/>
    <b v="1"/>
    <x v="4"/>
    <x v="187"/>
    <n v="10136.5"/>
    <x v="0"/>
    <x v="4"/>
  </r>
  <r>
    <x v="247"/>
    <x v="247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x v="95"/>
    <b v="1"/>
    <x v="4"/>
    <x v="188"/>
    <n v="5852.5"/>
    <x v="0"/>
    <x v="4"/>
  </r>
  <r>
    <x v="248"/>
    <x v="248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x v="96"/>
    <b v="1"/>
    <x v="4"/>
    <x v="189"/>
    <n v="85566.5"/>
    <x v="0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x v="97"/>
    <b v="1"/>
    <x v="4"/>
    <x v="190"/>
    <n v="10646"/>
    <x v="0"/>
    <x v="4"/>
  </r>
  <r>
    <x v="250"/>
    <x v="250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x v="98"/>
    <b v="1"/>
    <x v="4"/>
    <x v="191"/>
    <n v="30837.5"/>
    <x v="0"/>
    <x v="4"/>
  </r>
  <r>
    <x v="251"/>
    <x v="251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x v="99"/>
    <b v="1"/>
    <x v="4"/>
    <x v="192"/>
    <n v="3947.5"/>
    <x v="0"/>
    <x v="4"/>
  </r>
  <r>
    <x v="252"/>
    <x v="252"/>
    <s v="The definitive story of indie comics and the foremost institution of higher learning for those who draw them."/>
    <n v="5000"/>
    <n v="9228"/>
    <x v="0"/>
    <x v="0"/>
    <x v="0"/>
    <n v="1275364740"/>
    <n v="1269878058"/>
    <b v="1"/>
    <x v="52"/>
    <b v="1"/>
    <x v="4"/>
    <x v="193"/>
    <n v="7114"/>
    <x v="0"/>
    <x v="4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x v="63"/>
    <b v="1"/>
    <x v="4"/>
    <x v="194"/>
    <n v="1505.5"/>
    <x v="0"/>
    <x v="4"/>
  </r>
  <r>
    <x v="254"/>
    <x v="254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x v="100"/>
    <b v="1"/>
    <x v="4"/>
    <x v="195"/>
    <n v="26033.67"/>
    <x v="0"/>
    <x v="4"/>
  </r>
  <r>
    <x v="255"/>
    <x v="255"/>
    <s v="xoxosms is a documentary about first love, long distance and Skype."/>
    <n v="8000"/>
    <n v="8538.66"/>
    <x v="0"/>
    <x v="0"/>
    <x v="0"/>
    <n v="1300275482"/>
    <n v="1297687082"/>
    <b v="1"/>
    <x v="101"/>
    <b v="1"/>
    <x v="4"/>
    <x v="196"/>
    <n v="8269.33"/>
    <x v="0"/>
    <x v="4"/>
  </r>
  <r>
    <x v="256"/>
    <x v="256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x v="102"/>
    <b v="1"/>
    <x v="4"/>
    <x v="197"/>
    <n v="15541.5"/>
    <x v="0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x v="103"/>
    <b v="1"/>
    <x v="4"/>
    <x v="198"/>
    <n v="36177.134999999995"/>
    <x v="0"/>
    <x v="4"/>
  </r>
  <r>
    <x v="258"/>
    <x v="258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x v="104"/>
    <b v="1"/>
    <x v="4"/>
    <x v="199"/>
    <n v="43671"/>
    <x v="0"/>
    <x v="4"/>
  </r>
  <r>
    <x v="259"/>
    <x v="259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x v="105"/>
    <b v="1"/>
    <x v="4"/>
    <x v="200"/>
    <n v="86976.709999999992"/>
    <x v="0"/>
    <x v="4"/>
  </r>
  <r>
    <x v="260"/>
    <x v="260"/>
    <s v="In the traditional world of Mexican Rodeo, a team of first-generation California girls does it their way."/>
    <n v="10000"/>
    <n v="10640"/>
    <x v="0"/>
    <x v="0"/>
    <x v="0"/>
    <n v="1279360740"/>
    <n v="1275415679"/>
    <b v="1"/>
    <x v="106"/>
    <b v="1"/>
    <x v="4"/>
    <x v="201"/>
    <n v="10320"/>
    <x v="0"/>
    <x v="4"/>
  </r>
  <r>
    <x v="261"/>
    <x v="261"/>
    <s v="Empires explores the impact of networks on histories and philosophies of political thought."/>
    <n v="20000"/>
    <n v="21480"/>
    <x v="0"/>
    <x v="0"/>
    <x v="0"/>
    <n v="1339080900"/>
    <n v="1334783704"/>
    <b v="1"/>
    <x v="107"/>
    <b v="1"/>
    <x v="4"/>
    <x v="202"/>
    <n v="20740"/>
    <x v="0"/>
    <x v="4"/>
  </r>
  <r>
    <x v="262"/>
    <x v="262"/>
    <s v="He can never die. He will live forever. He is the last cosmonaut, and this is his story."/>
    <n v="2500"/>
    <n v="6000"/>
    <x v="0"/>
    <x v="0"/>
    <x v="0"/>
    <n v="1298699828"/>
    <n v="1294811828"/>
    <b v="1"/>
    <x v="108"/>
    <b v="1"/>
    <x v="4"/>
    <x v="203"/>
    <n v="4250"/>
    <x v="0"/>
    <x v="4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x v="109"/>
    <b v="1"/>
    <x v="4"/>
    <x v="204"/>
    <n v="27260.135000000002"/>
    <x v="0"/>
    <x v="4"/>
  </r>
  <r>
    <x v="264"/>
    <x v="264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x v="110"/>
    <b v="1"/>
    <x v="4"/>
    <x v="205"/>
    <n v="5455"/>
    <x v="0"/>
    <x v="4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x v="6"/>
    <b v="1"/>
    <x v="4"/>
    <x v="206"/>
    <n v="5277.5"/>
    <x v="0"/>
    <x v="4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x v="17"/>
    <b v="1"/>
    <x v="4"/>
    <x v="207"/>
    <n v="1227.5"/>
    <x v="0"/>
    <x v="4"/>
  </r>
  <r>
    <x v="267"/>
    <x v="267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x v="111"/>
    <b v="1"/>
    <x v="4"/>
    <x v="208"/>
    <n v="11407.720000000001"/>
    <x v="0"/>
    <x v="4"/>
  </r>
  <r>
    <x v="268"/>
    <x v="268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x v="112"/>
    <b v="1"/>
    <x v="4"/>
    <x v="209"/>
    <n v="5285"/>
    <x v="0"/>
    <x v="4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x v="113"/>
    <b v="1"/>
    <x v="4"/>
    <x v="210"/>
    <n v="123616.88499999999"/>
    <x v="0"/>
    <x v="4"/>
  </r>
  <r>
    <x v="270"/>
    <x v="270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x v="42"/>
    <b v="1"/>
    <x v="4"/>
    <x v="211"/>
    <n v="2905"/>
    <x v="0"/>
    <x v="4"/>
  </r>
  <r>
    <x v="271"/>
    <x v="271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x v="114"/>
    <b v="1"/>
    <x v="4"/>
    <x v="212"/>
    <n v="30702"/>
    <x v="0"/>
    <x v="4"/>
  </r>
  <r>
    <x v="272"/>
    <x v="272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x v="71"/>
    <b v="1"/>
    <x v="4"/>
    <x v="213"/>
    <n v="4161.5050000000001"/>
    <x v="0"/>
    <x v="4"/>
  </r>
  <r>
    <x v="273"/>
    <x v="273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x v="115"/>
    <b v="1"/>
    <x v="4"/>
    <x v="214"/>
    <n v="5194.3950000000004"/>
    <x v="0"/>
    <x v="4"/>
  </r>
  <r>
    <x v="274"/>
    <x v="274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x v="116"/>
    <b v="1"/>
    <x v="4"/>
    <x v="215"/>
    <n v="5120"/>
    <x v="0"/>
    <x v="4"/>
  </r>
  <r>
    <x v="275"/>
    <x v="275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x v="117"/>
    <b v="1"/>
    <x v="4"/>
    <x v="216"/>
    <n v="20839.5"/>
    <x v="0"/>
    <x v="4"/>
  </r>
  <r>
    <x v="276"/>
    <x v="276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x v="95"/>
    <b v="1"/>
    <x v="4"/>
    <x v="217"/>
    <n v="4952"/>
    <x v="0"/>
    <x v="4"/>
  </r>
  <r>
    <x v="277"/>
    <x v="277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x v="118"/>
    <b v="1"/>
    <x v="4"/>
    <x v="218"/>
    <n v="68374"/>
    <x v="0"/>
    <x v="4"/>
  </r>
  <r>
    <x v="278"/>
    <x v="278"/>
    <s v="An unlikely story of spirit, defiance and beauty from the most contaminated place on Earth"/>
    <n v="27000"/>
    <n v="40594"/>
    <x v="0"/>
    <x v="0"/>
    <x v="0"/>
    <n v="1350003539"/>
    <n v="1347411539"/>
    <b v="1"/>
    <x v="119"/>
    <b v="1"/>
    <x v="4"/>
    <x v="219"/>
    <n v="33797"/>
    <x v="0"/>
    <x v="4"/>
  </r>
  <r>
    <x v="279"/>
    <x v="279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x v="120"/>
    <b v="1"/>
    <x v="4"/>
    <x v="220"/>
    <n v="21872.055"/>
    <x v="0"/>
    <x v="4"/>
  </r>
  <r>
    <x v="280"/>
    <x v="280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x v="121"/>
    <b v="1"/>
    <x v="4"/>
    <x v="221"/>
    <n v="96054"/>
    <x v="0"/>
    <x v="4"/>
  </r>
  <r>
    <x v="281"/>
    <x v="281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x v="1"/>
    <b v="1"/>
    <x v="4"/>
    <x v="222"/>
    <n v="6066.16"/>
    <x v="0"/>
    <x v="4"/>
  </r>
  <r>
    <x v="282"/>
    <x v="282"/>
    <s v="See US Marines make counter-insurgency work in Helmand Province--the Taliban's stronghold in Afghanistan."/>
    <n v="45000"/>
    <n v="45535"/>
    <x v="0"/>
    <x v="0"/>
    <x v="0"/>
    <n v="1266876000"/>
    <n v="1263679492"/>
    <b v="1"/>
    <x v="122"/>
    <b v="1"/>
    <x v="4"/>
    <x v="223"/>
    <n v="45267.5"/>
    <x v="0"/>
    <x v="4"/>
  </r>
  <r>
    <x v="283"/>
    <x v="283"/>
    <s v="What is the impact of survivorship on the human condition?"/>
    <n v="18000"/>
    <n v="20569.05"/>
    <x v="0"/>
    <x v="0"/>
    <x v="0"/>
    <n v="1306904340"/>
    <n v="1305219744"/>
    <b v="1"/>
    <x v="91"/>
    <b v="1"/>
    <x v="4"/>
    <x v="224"/>
    <n v="19284.525000000001"/>
    <x v="0"/>
    <x v="4"/>
  </r>
  <r>
    <x v="284"/>
    <x v="284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x v="123"/>
    <b v="1"/>
    <x v="4"/>
    <x v="225"/>
    <n v="40925.229999999996"/>
    <x v="0"/>
    <x v="4"/>
  </r>
  <r>
    <x v="285"/>
    <x v="285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x v="124"/>
    <b v="1"/>
    <x v="4"/>
    <x v="226"/>
    <n v="23017.754999999997"/>
    <x v="0"/>
    <x v="4"/>
  </r>
  <r>
    <x v="286"/>
    <x v="286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x v="125"/>
    <b v="1"/>
    <x v="4"/>
    <x v="227"/>
    <n v="15686.5"/>
    <x v="0"/>
    <x v="4"/>
  </r>
  <r>
    <x v="287"/>
    <x v="287"/>
    <s v="War is hell. Why would anyone want to spend their weekends there?"/>
    <n v="15000"/>
    <n v="26445"/>
    <x v="0"/>
    <x v="0"/>
    <x v="0"/>
    <n v="1351828800"/>
    <n v="1349160018"/>
    <b v="1"/>
    <x v="126"/>
    <b v="1"/>
    <x v="4"/>
    <x v="228"/>
    <n v="20722.5"/>
    <x v="0"/>
    <x v="4"/>
  </r>
  <r>
    <x v="288"/>
    <x v="288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x v="127"/>
    <b v="1"/>
    <x v="4"/>
    <x v="229"/>
    <n v="50802.654999999999"/>
    <x v="0"/>
    <x v="4"/>
  </r>
  <r>
    <x v="289"/>
    <x v="289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x v="128"/>
    <b v="1"/>
    <x v="4"/>
    <x v="230"/>
    <n v="15361.5"/>
    <x v="0"/>
    <x v="4"/>
  </r>
  <r>
    <x v="290"/>
    <x v="290"/>
    <s v="Help INTOTHEWOODS.TV purchase audio and video gear, lighting and BACK UP HARD DRIVES"/>
    <n v="4500"/>
    <n v="4800.8"/>
    <x v="0"/>
    <x v="0"/>
    <x v="0"/>
    <n v="1296633540"/>
    <n v="1292316697"/>
    <b v="1"/>
    <x v="129"/>
    <b v="1"/>
    <x v="4"/>
    <x v="231"/>
    <n v="4650.3999999999996"/>
    <x v="0"/>
    <x v="4"/>
  </r>
  <r>
    <x v="291"/>
    <x v="291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x v="130"/>
    <b v="1"/>
    <x v="4"/>
    <x v="232"/>
    <n v="5500.5"/>
    <x v="0"/>
    <x v="4"/>
  </r>
  <r>
    <x v="292"/>
    <x v="292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x v="131"/>
    <b v="1"/>
    <x v="4"/>
    <x v="233"/>
    <n v="75565.100000000006"/>
    <x v="0"/>
    <x v="4"/>
  </r>
  <r>
    <x v="293"/>
    <x v="293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x v="132"/>
    <b v="1"/>
    <x v="4"/>
    <x v="234"/>
    <n v="26180"/>
    <x v="0"/>
    <x v="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x v="133"/>
    <b v="1"/>
    <x v="4"/>
    <x v="31"/>
    <n v="5000"/>
    <x v="0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x v="134"/>
    <b v="1"/>
    <x v="4"/>
    <x v="235"/>
    <n v="58277.279999999999"/>
    <x v="0"/>
    <x v="4"/>
  </r>
  <r>
    <x v="296"/>
    <x v="296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x v="135"/>
    <b v="1"/>
    <x v="4"/>
    <x v="236"/>
    <n v="27340.775000000001"/>
    <x v="0"/>
    <x v="4"/>
  </r>
  <r>
    <x v="297"/>
    <x v="297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x v="136"/>
    <b v="1"/>
    <x v="4"/>
    <x v="237"/>
    <n v="20064"/>
    <x v="0"/>
    <x v="4"/>
  </r>
  <r>
    <x v="298"/>
    <x v="298"/>
    <s v="The truth is, we all lie - and by &quot;we,&quot; we mean everyone!"/>
    <n v="126000"/>
    <n v="137254.84"/>
    <x v="0"/>
    <x v="0"/>
    <x v="0"/>
    <n v="1399669200"/>
    <n v="1394536048"/>
    <b v="1"/>
    <x v="137"/>
    <b v="1"/>
    <x v="4"/>
    <x v="238"/>
    <n v="131627.41999999998"/>
    <x v="0"/>
    <x v="4"/>
  </r>
  <r>
    <x v="299"/>
    <x v="299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x v="138"/>
    <b v="1"/>
    <x v="4"/>
    <x v="239"/>
    <n v="13947.625"/>
    <x v="0"/>
    <x v="4"/>
  </r>
  <r>
    <x v="300"/>
    <x v="300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x v="139"/>
    <b v="1"/>
    <x v="4"/>
    <x v="240"/>
    <n v="25215.33"/>
    <x v="0"/>
    <x v="4"/>
  </r>
  <r>
    <x v="301"/>
    <x v="301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x v="140"/>
    <b v="1"/>
    <x v="4"/>
    <x v="241"/>
    <n v="14217.775"/>
    <x v="0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x v="52"/>
    <b v="1"/>
    <x v="4"/>
    <x v="242"/>
    <n v="10023"/>
    <x v="0"/>
    <x v="4"/>
  </r>
  <r>
    <x v="303"/>
    <x v="303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x v="141"/>
    <b v="1"/>
    <x v="4"/>
    <x v="243"/>
    <n v="3562"/>
    <x v="0"/>
    <x v="4"/>
  </r>
  <r>
    <x v="304"/>
    <x v="304"/>
    <s v="A portrait of a life fully realized and a look at what it takes to make great photography."/>
    <n v="3400"/>
    <n v="7876"/>
    <x v="0"/>
    <x v="0"/>
    <x v="0"/>
    <n v="1346464800"/>
    <n v="1343096197"/>
    <b v="1"/>
    <x v="142"/>
    <b v="1"/>
    <x v="4"/>
    <x v="244"/>
    <n v="5638"/>
    <x v="0"/>
    <x v="4"/>
  </r>
  <r>
    <x v="305"/>
    <x v="305"/>
    <s v="A documentary that I am making about the difficult, but inspiring, life of a late friend of mine."/>
    <n v="7500"/>
    <n v="9775"/>
    <x v="0"/>
    <x v="0"/>
    <x v="0"/>
    <n v="1331392049"/>
    <n v="1328800049"/>
    <b v="1"/>
    <x v="143"/>
    <b v="1"/>
    <x v="4"/>
    <x v="245"/>
    <n v="8637.5"/>
    <x v="0"/>
    <x v="4"/>
  </r>
  <r>
    <x v="306"/>
    <x v="306"/>
    <s v="A feature-length documentary on the life of Boston escape artist Jason Escape."/>
    <n v="1000"/>
    <n v="2929"/>
    <x v="0"/>
    <x v="0"/>
    <x v="0"/>
    <n v="1363806333"/>
    <n v="1362081933"/>
    <b v="1"/>
    <x v="144"/>
    <b v="1"/>
    <x v="4"/>
    <x v="246"/>
    <n v="1964.5"/>
    <x v="0"/>
    <x v="4"/>
  </r>
  <r>
    <x v="307"/>
    <x v="307"/>
    <s v="Why is grammar important?"/>
    <n v="22000"/>
    <n v="24490"/>
    <x v="0"/>
    <x v="0"/>
    <x v="0"/>
    <n v="1360276801"/>
    <n v="1357684801"/>
    <b v="1"/>
    <x v="145"/>
    <b v="1"/>
    <x v="4"/>
    <x v="247"/>
    <n v="23245"/>
    <x v="0"/>
    <x v="4"/>
  </r>
  <r>
    <x v="308"/>
    <x v="308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x v="91"/>
    <b v="1"/>
    <x v="4"/>
    <x v="248"/>
    <n v="12334"/>
    <x v="0"/>
    <x v="4"/>
  </r>
  <r>
    <x v="309"/>
    <x v="309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x v="146"/>
    <b v="1"/>
    <x v="4"/>
    <x v="249"/>
    <n v="19705"/>
    <x v="0"/>
    <x v="4"/>
  </r>
  <r>
    <x v="310"/>
    <x v="310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x v="17"/>
    <b v="1"/>
    <x v="4"/>
    <x v="250"/>
    <n v="1020.645"/>
    <x v="0"/>
    <x v="4"/>
  </r>
  <r>
    <x v="311"/>
    <x v="311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x v="3"/>
    <b v="1"/>
    <x v="4"/>
    <x v="251"/>
    <n v="20410.165000000001"/>
    <x v="0"/>
    <x v="4"/>
  </r>
  <r>
    <x v="312"/>
    <x v="312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x v="96"/>
    <b v="1"/>
    <x v="4"/>
    <x v="252"/>
    <n v="8475"/>
    <x v="0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x v="147"/>
    <b v="1"/>
    <x v="4"/>
    <x v="253"/>
    <n v="17402.5"/>
    <x v="0"/>
    <x v="4"/>
  </r>
  <r>
    <x v="314"/>
    <x v="314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x v="148"/>
    <b v="1"/>
    <x v="4"/>
    <x v="254"/>
    <n v="2425.75"/>
    <x v="0"/>
    <x v="4"/>
  </r>
  <r>
    <x v="315"/>
    <x v="315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x v="149"/>
    <b v="1"/>
    <x v="4"/>
    <x v="255"/>
    <n v="25156"/>
    <x v="0"/>
    <x v="4"/>
  </r>
  <r>
    <x v="316"/>
    <x v="316"/>
    <s v="Award winning documentary The Secret Trial 5 needs your help for a Cross-Canada Tour!"/>
    <n v="15000"/>
    <n v="17066"/>
    <x v="0"/>
    <x v="5"/>
    <x v="5"/>
    <n v="1418273940"/>
    <n v="1415398197"/>
    <b v="1"/>
    <x v="150"/>
    <b v="1"/>
    <x v="4"/>
    <x v="256"/>
    <n v="16033"/>
    <x v="0"/>
    <x v="4"/>
  </r>
  <r>
    <x v="317"/>
    <x v="317"/>
    <s v="The story of a cowboy town with a prison problem, and the colorful characters who call it home."/>
    <n v="30000"/>
    <n v="30241"/>
    <x v="0"/>
    <x v="0"/>
    <x v="0"/>
    <n v="1386778483"/>
    <n v="1384186483"/>
    <b v="1"/>
    <x v="151"/>
    <b v="1"/>
    <x v="4"/>
    <x v="257"/>
    <n v="30120.5"/>
    <x v="0"/>
    <x v="4"/>
  </r>
  <r>
    <x v="318"/>
    <x v="318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x v="4"/>
    <b v="1"/>
    <x v="4"/>
    <x v="258"/>
    <n v="9583"/>
    <x v="0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x v="13"/>
    <b v="1"/>
    <x v="4"/>
    <x v="259"/>
    <n v="5317"/>
    <x v="0"/>
    <x v="4"/>
  </r>
  <r>
    <x v="320"/>
    <x v="320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x v="150"/>
    <b v="1"/>
    <x v="4"/>
    <x v="260"/>
    <n v="20658"/>
    <x v="0"/>
    <x v="4"/>
  </r>
  <r>
    <x v="321"/>
    <x v="321"/>
    <s v="The more digital the world, the more analog our dreams._x000a_A feature documentary shot on 35mm film."/>
    <n v="35000"/>
    <n v="35932"/>
    <x v="0"/>
    <x v="12"/>
    <x v="3"/>
    <n v="1478605386"/>
    <n v="1475577786"/>
    <b v="1"/>
    <x v="152"/>
    <b v="1"/>
    <x v="4"/>
    <x v="261"/>
    <n v="35466"/>
    <x v="0"/>
    <x v="4"/>
  </r>
  <r>
    <x v="322"/>
    <x v="322"/>
    <s v="A documentary film about the largest elephants on earth and what is being done to ensure their survival."/>
    <n v="25000"/>
    <n v="26978"/>
    <x v="0"/>
    <x v="0"/>
    <x v="0"/>
    <n v="1463146848"/>
    <n v="1460554848"/>
    <b v="1"/>
    <x v="153"/>
    <b v="1"/>
    <x v="4"/>
    <x v="262"/>
    <n v="25989"/>
    <x v="0"/>
    <x v="4"/>
  </r>
  <r>
    <x v="323"/>
    <x v="323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x v="6"/>
    <b v="1"/>
    <x v="4"/>
    <x v="263"/>
    <n v="6023"/>
    <x v="0"/>
    <x v="4"/>
  </r>
  <r>
    <x v="324"/>
    <x v="324"/>
    <s v="A documentary about a Vietnam veteran who finds peace from his PTSD through Disney, rather than medication."/>
    <n v="8500"/>
    <n v="8636"/>
    <x v="0"/>
    <x v="0"/>
    <x v="0"/>
    <n v="1438441308"/>
    <n v="1435590108"/>
    <b v="1"/>
    <x v="141"/>
    <b v="1"/>
    <x v="4"/>
    <x v="264"/>
    <n v="8568"/>
    <x v="0"/>
    <x v="4"/>
  </r>
  <r>
    <x v="325"/>
    <x v="325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x v="154"/>
    <b v="1"/>
    <x v="4"/>
    <x v="265"/>
    <n v="51099"/>
    <x v="0"/>
    <x v="4"/>
  </r>
  <r>
    <x v="326"/>
    <x v="326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x v="155"/>
    <b v="1"/>
    <x v="4"/>
    <x v="266"/>
    <n v="159697.29999999999"/>
    <x v="0"/>
    <x v="4"/>
  </r>
  <r>
    <x v="327"/>
    <x v="327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x v="69"/>
    <b v="1"/>
    <x v="4"/>
    <x v="267"/>
    <n v="4728"/>
    <x v="0"/>
    <x v="4"/>
  </r>
  <r>
    <x v="328"/>
    <x v="328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x v="156"/>
    <b v="1"/>
    <x v="4"/>
    <x v="268"/>
    <n v="76355.399999999994"/>
    <x v="0"/>
    <x v="4"/>
  </r>
  <r>
    <x v="329"/>
    <x v="329"/>
    <s v="Our documentary about Oklahoma's all-black towns needs a soundtrack that is authentic. Help us make it happen."/>
    <n v="10000"/>
    <n v="10550"/>
    <x v="0"/>
    <x v="0"/>
    <x v="0"/>
    <n v="1446868800"/>
    <n v="1444821127"/>
    <b v="1"/>
    <x v="157"/>
    <b v="1"/>
    <x v="4"/>
    <x v="269"/>
    <n v="10275"/>
    <x v="0"/>
    <x v="4"/>
  </r>
  <r>
    <x v="330"/>
    <x v="330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x v="158"/>
    <b v="1"/>
    <x v="4"/>
    <x v="270"/>
    <n v="35320"/>
    <x v="0"/>
    <x v="4"/>
  </r>
  <r>
    <x v="331"/>
    <x v="331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x v="159"/>
    <b v="1"/>
    <x v="4"/>
    <x v="271"/>
    <n v="41321"/>
    <x v="0"/>
    <x v="4"/>
  </r>
  <r>
    <x v="332"/>
    <x v="332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x v="160"/>
    <b v="1"/>
    <x v="4"/>
    <x v="272"/>
    <n v="106507.5"/>
    <x v="0"/>
    <x v="4"/>
  </r>
  <r>
    <x v="333"/>
    <x v="333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x v="161"/>
    <b v="1"/>
    <x v="4"/>
    <x v="273"/>
    <n v="45045.5"/>
    <x v="0"/>
    <x v="4"/>
  </r>
  <r>
    <x v="334"/>
    <x v="334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x v="50"/>
    <b v="1"/>
    <x v="4"/>
    <x v="274"/>
    <n v="10059.5"/>
    <x v="0"/>
    <x v="4"/>
  </r>
  <r>
    <x v="335"/>
    <x v="335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x v="144"/>
    <b v="1"/>
    <x v="4"/>
    <x v="275"/>
    <n v="8617.5"/>
    <x v="0"/>
    <x v="4"/>
  </r>
  <r>
    <x v="336"/>
    <x v="336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x v="131"/>
    <b v="1"/>
    <x v="4"/>
    <x v="276"/>
    <n v="27104.89"/>
    <x v="0"/>
    <x v="4"/>
  </r>
  <r>
    <x v="337"/>
    <x v="337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x v="162"/>
    <b v="1"/>
    <x v="4"/>
    <x v="277"/>
    <n v="3017.5250000000001"/>
    <x v="0"/>
    <x v="4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x v="163"/>
    <b v="1"/>
    <x v="4"/>
    <x v="278"/>
    <n v="15760.02"/>
    <x v="0"/>
    <x v="4"/>
  </r>
  <r>
    <x v="339"/>
    <x v="339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x v="30"/>
    <b v="1"/>
    <x v="4"/>
    <x v="279"/>
    <n v="6242.5"/>
    <x v="0"/>
    <x v="4"/>
  </r>
  <r>
    <x v="340"/>
    <x v="340"/>
    <s v="Feature-length documentary about five Somali Muslim students pursuing dreams of education in America"/>
    <n v="35000"/>
    <n v="43758"/>
    <x v="0"/>
    <x v="0"/>
    <x v="0"/>
    <n v="1489006800"/>
    <n v="1486397007"/>
    <b v="1"/>
    <x v="164"/>
    <b v="1"/>
    <x v="4"/>
    <x v="280"/>
    <n v="39379"/>
    <x v="0"/>
    <x v="4"/>
  </r>
  <r>
    <x v="341"/>
    <x v="341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x v="165"/>
    <b v="1"/>
    <x v="4"/>
    <x v="281"/>
    <n v="3617.5"/>
    <x v="0"/>
    <x v="4"/>
  </r>
  <r>
    <x v="342"/>
    <x v="342"/>
    <s v="BREAKING A MONSTER needs your help to play in THEATERS!"/>
    <n v="55000"/>
    <n v="55201.52"/>
    <x v="0"/>
    <x v="0"/>
    <x v="0"/>
    <n v="1461955465"/>
    <n v="1459363465"/>
    <b v="1"/>
    <x v="166"/>
    <b v="1"/>
    <x v="4"/>
    <x v="282"/>
    <n v="55100.759999999995"/>
    <x v="0"/>
    <x v="4"/>
  </r>
  <r>
    <x v="343"/>
    <x v="343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x v="167"/>
    <b v="1"/>
    <x v="4"/>
    <x v="283"/>
    <n v="30304.294999999998"/>
    <x v="0"/>
    <x v="4"/>
  </r>
  <r>
    <x v="344"/>
    <x v="344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x v="168"/>
    <b v="1"/>
    <x v="4"/>
    <x v="284"/>
    <n v="33849"/>
    <x v="0"/>
    <x v="4"/>
  </r>
  <r>
    <x v="345"/>
    <x v="345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x v="122"/>
    <b v="1"/>
    <x v="4"/>
    <x v="285"/>
    <n v="16187.5"/>
    <x v="0"/>
    <x v="4"/>
  </r>
  <r>
    <x v="346"/>
    <x v="346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x v="101"/>
    <b v="1"/>
    <x v="4"/>
    <x v="286"/>
    <n v="13514.44"/>
    <x v="0"/>
    <x v="4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x v="169"/>
    <b v="1"/>
    <x v="4"/>
    <x v="287"/>
    <n v="42318.1"/>
    <x v="0"/>
    <x v="4"/>
  </r>
  <r>
    <x v="348"/>
    <x v="348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x v="46"/>
    <b v="1"/>
    <x v="4"/>
    <x v="288"/>
    <n v="10150"/>
    <x v="0"/>
    <x v="4"/>
  </r>
  <r>
    <x v="349"/>
    <x v="349"/>
    <s v="After 52 years of war, FARC guerrilla soldiers rejoin Colombian society to forge new lives of peace."/>
    <n v="11260"/>
    <n v="12007.18"/>
    <x v="0"/>
    <x v="0"/>
    <x v="0"/>
    <n v="1487937508"/>
    <n v="1485345508"/>
    <b v="1"/>
    <x v="157"/>
    <b v="1"/>
    <x v="4"/>
    <x v="289"/>
    <n v="11633.59"/>
    <x v="0"/>
    <x v="4"/>
  </r>
  <r>
    <x v="350"/>
    <x v="350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x v="170"/>
    <b v="1"/>
    <x v="4"/>
    <x v="290"/>
    <n v="26845"/>
    <x v="0"/>
    <x v="4"/>
  </r>
  <r>
    <x v="351"/>
    <x v="351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x v="171"/>
    <b v="1"/>
    <x v="4"/>
    <x v="291"/>
    <n v="38648"/>
    <x v="0"/>
    <x v="4"/>
  </r>
  <r>
    <x v="352"/>
    <x v="352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x v="172"/>
    <b v="1"/>
    <x v="4"/>
    <x v="292"/>
    <n v="10828"/>
    <x v="0"/>
    <x v="4"/>
  </r>
  <r>
    <x v="353"/>
    <x v="353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x v="173"/>
    <b v="1"/>
    <x v="4"/>
    <x v="293"/>
    <n v="60942.59"/>
    <x v="0"/>
    <x v="4"/>
  </r>
  <r>
    <x v="354"/>
    <x v="354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x v="60"/>
    <b v="1"/>
    <x v="4"/>
    <x v="294"/>
    <n v="3569"/>
    <x v="0"/>
    <x v="4"/>
  </r>
  <r>
    <x v="355"/>
    <x v="355"/>
    <s v="A documentary film about the late REZA ABDOH and his performance company DAR A LUZ."/>
    <n v="35000"/>
    <n v="40690"/>
    <x v="0"/>
    <x v="0"/>
    <x v="0"/>
    <n v="1417420994"/>
    <n v="1414738994"/>
    <b v="1"/>
    <x v="111"/>
    <b v="1"/>
    <x v="4"/>
    <x v="295"/>
    <n v="37845"/>
    <x v="0"/>
    <x v="4"/>
  </r>
  <r>
    <x v="356"/>
    <x v="356"/>
    <s v="A documentary about halibut conservation and how it impacts communities of Southeast Alaska."/>
    <n v="7500"/>
    <n v="7701.93"/>
    <x v="0"/>
    <x v="0"/>
    <x v="0"/>
    <n v="1458152193"/>
    <n v="1455563793"/>
    <b v="1"/>
    <x v="174"/>
    <b v="1"/>
    <x v="4"/>
    <x v="296"/>
    <n v="7600.9650000000001"/>
    <x v="0"/>
    <x v="4"/>
  </r>
  <r>
    <x v="357"/>
    <x v="357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x v="175"/>
    <b v="1"/>
    <x v="4"/>
    <x v="297"/>
    <n v="20550"/>
    <x v="0"/>
    <x v="4"/>
  </r>
  <r>
    <x v="358"/>
    <x v="358"/>
    <s v="Screenwriter. Novelist. Playwright. The inside story of famed writer William Goldman. As only he can tell it."/>
    <n v="50000"/>
    <n v="51544"/>
    <x v="0"/>
    <x v="0"/>
    <x v="0"/>
    <n v="1466002800"/>
    <n v="1463517521"/>
    <b v="1"/>
    <x v="176"/>
    <b v="1"/>
    <x v="4"/>
    <x v="298"/>
    <n v="50772"/>
    <x v="0"/>
    <x v="4"/>
  </r>
  <r>
    <x v="359"/>
    <x v="359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x v="177"/>
    <b v="1"/>
    <x v="4"/>
    <x v="299"/>
    <n v="24787.5"/>
    <x v="0"/>
    <x v="4"/>
  </r>
  <r>
    <x v="360"/>
    <x v="360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x v="45"/>
    <b v="1"/>
    <x v="4"/>
    <x v="300"/>
    <n v="12082.5"/>
    <x v="0"/>
    <x v="4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x v="178"/>
    <b v="1"/>
    <x v="4"/>
    <x v="301"/>
    <n v="36938.474999999999"/>
    <x v="0"/>
    <x v="4"/>
  </r>
  <r>
    <x v="362"/>
    <x v="362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x v="48"/>
    <b v="1"/>
    <x v="4"/>
    <x v="302"/>
    <n v="10832.5"/>
    <x v="0"/>
    <x v="4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x v="55"/>
    <b v="1"/>
    <x v="4"/>
    <x v="303"/>
    <n v="8984.5"/>
    <x v="0"/>
    <x v="4"/>
  </r>
  <r>
    <x v="364"/>
    <x v="364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x v="116"/>
    <b v="1"/>
    <x v="4"/>
    <x v="304"/>
    <n v="7355.65"/>
    <x v="0"/>
    <x v="4"/>
  </r>
  <r>
    <x v="365"/>
    <x v="365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x v="71"/>
    <b v="1"/>
    <x v="4"/>
    <x v="305"/>
    <n v="15298"/>
    <x v="0"/>
    <x v="4"/>
  </r>
  <r>
    <x v="366"/>
    <x v="366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x v="179"/>
    <b v="1"/>
    <x v="4"/>
    <x v="306"/>
    <n v="38250"/>
    <x v="0"/>
    <x v="4"/>
  </r>
  <r>
    <x v="367"/>
    <x v="367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x v="46"/>
    <b v="1"/>
    <x v="4"/>
    <x v="307"/>
    <n v="10167.505000000001"/>
    <x v="0"/>
    <x v="4"/>
  </r>
  <r>
    <x v="368"/>
    <x v="368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x v="180"/>
    <b v="1"/>
    <x v="4"/>
    <x v="308"/>
    <n v="12757"/>
    <x v="0"/>
    <x v="4"/>
  </r>
  <r>
    <x v="369"/>
    <x v="369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x v="157"/>
    <b v="1"/>
    <x v="4"/>
    <x v="309"/>
    <n v="6830.0599999999995"/>
    <x v="0"/>
    <x v="4"/>
  </r>
  <r>
    <x v="370"/>
    <x v="370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x v="68"/>
    <b v="1"/>
    <x v="4"/>
    <x v="310"/>
    <n v="27752.5"/>
    <x v="0"/>
    <x v="4"/>
  </r>
  <r>
    <x v="371"/>
    <x v="371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x v="181"/>
    <b v="1"/>
    <x v="4"/>
    <x v="311"/>
    <n v="160626.5"/>
    <x v="0"/>
    <x v="4"/>
  </r>
  <r>
    <x v="372"/>
    <x v="372"/>
    <s v="A short documentary exploring the uses of 'Natural Horsemanship' across Europe"/>
    <n v="300"/>
    <n v="376"/>
    <x v="0"/>
    <x v="1"/>
    <x v="1"/>
    <n v="1459872000"/>
    <n v="1456408244"/>
    <b v="0"/>
    <x v="82"/>
    <b v="1"/>
    <x v="4"/>
    <x v="312"/>
    <n v="338"/>
    <x v="0"/>
    <x v="4"/>
  </r>
  <r>
    <x v="373"/>
    <x v="373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x v="30"/>
    <b v="1"/>
    <x v="4"/>
    <x v="313"/>
    <n v="7750"/>
    <x v="0"/>
    <x v="4"/>
  </r>
  <r>
    <x v="374"/>
    <x v="374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x v="49"/>
    <b v="1"/>
    <x v="4"/>
    <x v="314"/>
    <n v="6919.5"/>
    <x v="0"/>
    <x v="4"/>
  </r>
  <r>
    <x v="375"/>
    <x v="375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x v="25"/>
    <b v="1"/>
    <x v="4"/>
    <x v="43"/>
    <n v="550"/>
    <x v="0"/>
    <x v="4"/>
  </r>
  <r>
    <x v="376"/>
    <x v="376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x v="53"/>
    <b v="1"/>
    <x v="4"/>
    <x v="315"/>
    <n v="2523"/>
    <x v="0"/>
    <x v="4"/>
  </r>
  <r>
    <x v="377"/>
    <x v="377"/>
    <s v="Dangerous. Sexy. All-American Girl. You know the look. Now meet the women who are making retro style modern."/>
    <n v="12000"/>
    <n v="13728"/>
    <x v="0"/>
    <x v="0"/>
    <x v="0"/>
    <n v="1447484460"/>
    <n v="1444888868"/>
    <b v="0"/>
    <x v="182"/>
    <b v="1"/>
    <x v="4"/>
    <x v="316"/>
    <n v="12864"/>
    <x v="0"/>
    <x v="4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x v="183"/>
    <b v="1"/>
    <x v="4"/>
    <x v="317"/>
    <n v="3176.5"/>
    <x v="0"/>
    <x v="4"/>
  </r>
  <r>
    <x v="379"/>
    <x v="379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x v="184"/>
    <b v="1"/>
    <x v="4"/>
    <x v="318"/>
    <n v="16206"/>
    <x v="0"/>
    <x v="4"/>
  </r>
  <r>
    <x v="380"/>
    <x v="380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x v="72"/>
    <b v="1"/>
    <x v="4"/>
    <x v="319"/>
    <n v="4830"/>
    <x v="0"/>
    <x v="4"/>
  </r>
  <r>
    <x v="381"/>
    <x v="381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x v="140"/>
    <b v="1"/>
    <x v="4"/>
    <x v="320"/>
    <n v="25591.25"/>
    <x v="0"/>
    <x v="4"/>
  </r>
  <r>
    <x v="382"/>
    <x v="382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x v="19"/>
    <b v="1"/>
    <x v="4"/>
    <x v="321"/>
    <n v="1067.5"/>
    <x v="0"/>
    <x v="4"/>
  </r>
  <r>
    <x v="383"/>
    <x v="383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x v="53"/>
    <b v="1"/>
    <x v="4"/>
    <x v="322"/>
    <n v="1532"/>
    <x v="0"/>
    <x v="4"/>
  </r>
  <r>
    <x v="384"/>
    <x v="384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x v="185"/>
    <b v="1"/>
    <x v="4"/>
    <x v="323"/>
    <n v="21210.5"/>
    <x v="0"/>
    <x v="4"/>
  </r>
  <r>
    <x v="385"/>
    <x v="385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x v="186"/>
    <b v="1"/>
    <x v="4"/>
    <x v="324"/>
    <n v="25747.75"/>
    <x v="0"/>
    <x v="4"/>
  </r>
  <r>
    <x v="386"/>
    <x v="386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x v="62"/>
    <b v="1"/>
    <x v="4"/>
    <x v="325"/>
    <n v="600.5"/>
    <x v="0"/>
    <x v="4"/>
  </r>
  <r>
    <x v="387"/>
    <x v="387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x v="187"/>
    <b v="1"/>
    <x v="4"/>
    <x v="326"/>
    <n v="59658"/>
    <x v="0"/>
    <x v="4"/>
  </r>
  <r>
    <x v="388"/>
    <x v="388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x v="26"/>
    <b v="1"/>
    <x v="4"/>
    <x v="327"/>
    <n v="5654"/>
    <x v="0"/>
    <x v="4"/>
  </r>
  <r>
    <x v="389"/>
    <x v="389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x v="188"/>
    <b v="1"/>
    <x v="4"/>
    <x v="328"/>
    <n v="95722.06"/>
    <x v="0"/>
    <x v="4"/>
  </r>
  <r>
    <x v="390"/>
    <x v="390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x v="25"/>
    <b v="1"/>
    <x v="4"/>
    <x v="31"/>
    <n v="1000"/>
    <x v="0"/>
    <x v="4"/>
  </r>
  <r>
    <x v="391"/>
    <x v="391"/>
    <s v="Too many women feel confused about their orgasm and shame about their desire. This movie aims to change that."/>
    <n v="20000"/>
    <n v="20122"/>
    <x v="0"/>
    <x v="0"/>
    <x v="0"/>
    <n v="1324169940"/>
    <n v="1321578051"/>
    <b v="0"/>
    <x v="189"/>
    <b v="1"/>
    <x v="4"/>
    <x v="329"/>
    <n v="20061"/>
    <x v="0"/>
    <x v="4"/>
  </r>
  <r>
    <x v="392"/>
    <x v="392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x v="190"/>
    <b v="1"/>
    <x v="4"/>
    <x v="330"/>
    <n v="18583.5"/>
    <x v="0"/>
    <x v="4"/>
  </r>
  <r>
    <x v="393"/>
    <x v="393"/>
    <s v="This is a story thatâ€™s never been told, about tackling climate change one penguin at a timeâ€¦"/>
    <n v="50000"/>
    <n v="55223"/>
    <x v="0"/>
    <x v="0"/>
    <x v="0"/>
    <n v="1381424452"/>
    <n v="1378746052"/>
    <b v="0"/>
    <x v="191"/>
    <b v="1"/>
    <x v="4"/>
    <x v="331"/>
    <n v="52611.5"/>
    <x v="0"/>
    <x v="4"/>
  </r>
  <r>
    <x v="394"/>
    <x v="394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x v="133"/>
    <b v="1"/>
    <x v="4"/>
    <x v="332"/>
    <n v="4979.5"/>
    <x v="0"/>
    <x v="4"/>
  </r>
  <r>
    <x v="395"/>
    <x v="395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x v="192"/>
    <b v="1"/>
    <x v="4"/>
    <x v="333"/>
    <n v="10402.225"/>
    <x v="0"/>
    <x v="4"/>
  </r>
  <r>
    <x v="396"/>
    <x v="396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x v="193"/>
    <b v="1"/>
    <x v="4"/>
    <x v="313"/>
    <n v="15500"/>
    <x v="0"/>
    <x v="4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x v="194"/>
    <b v="1"/>
    <x v="4"/>
    <x v="334"/>
    <n v="12686.674999999999"/>
    <x v="0"/>
    <x v="4"/>
  </r>
  <r>
    <x v="398"/>
    <x v="398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x v="85"/>
    <b v="1"/>
    <x v="4"/>
    <x v="335"/>
    <n v="8443.5"/>
    <x v="0"/>
    <x v="4"/>
  </r>
  <r>
    <x v="399"/>
    <x v="399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x v="195"/>
    <b v="1"/>
    <x v="4"/>
    <x v="336"/>
    <n v="20680.5"/>
    <x v="0"/>
    <x v="4"/>
  </r>
  <r>
    <x v="400"/>
    <x v="400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x v="95"/>
    <b v="1"/>
    <x v="4"/>
    <x v="337"/>
    <n v="10615.125"/>
    <x v="0"/>
    <x v="4"/>
  </r>
  <r>
    <x v="401"/>
    <x v="401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x v="196"/>
    <b v="1"/>
    <x v="4"/>
    <x v="338"/>
    <n v="50953"/>
    <x v="0"/>
    <x v="4"/>
  </r>
  <r>
    <x v="402"/>
    <x v="402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x v="68"/>
    <b v="1"/>
    <x v="4"/>
    <x v="339"/>
    <n v="2416.5"/>
    <x v="0"/>
    <x v="4"/>
  </r>
  <r>
    <x v="403"/>
    <x v="403"/>
    <s v="A documentary adventure about bananas - and people. Your round-trip ticket into the heart of banana-cultures!!"/>
    <n v="5000"/>
    <n v="5263"/>
    <x v="0"/>
    <x v="0"/>
    <x v="0"/>
    <n v="1312960080"/>
    <n v="1308900441"/>
    <b v="0"/>
    <x v="16"/>
    <b v="1"/>
    <x v="4"/>
    <x v="340"/>
    <n v="5131.5"/>
    <x v="0"/>
    <x v="4"/>
  </r>
  <r>
    <x v="404"/>
    <x v="404"/>
    <s v="A feature length documentary, exploring the many lives memorialized by the iconic AIDS Memorial Quilt."/>
    <n v="35000"/>
    <n v="36082"/>
    <x v="0"/>
    <x v="0"/>
    <x v="0"/>
    <n v="1391641440"/>
    <n v="1389107062"/>
    <b v="0"/>
    <x v="197"/>
    <b v="1"/>
    <x v="4"/>
    <x v="341"/>
    <n v="35541"/>
    <x v="0"/>
    <x v="4"/>
  </r>
  <r>
    <x v="405"/>
    <x v="405"/>
    <s v="Come, join our movie movement.  A new documentary about the healing power of food."/>
    <n v="2820"/>
    <n v="3036"/>
    <x v="0"/>
    <x v="0"/>
    <x v="0"/>
    <n v="1394071339"/>
    <n v="1391479339"/>
    <b v="0"/>
    <x v="165"/>
    <b v="1"/>
    <x v="4"/>
    <x v="342"/>
    <n v="2928"/>
    <x v="0"/>
    <x v="4"/>
  </r>
  <r>
    <x v="406"/>
    <x v="406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x v="2"/>
    <b v="1"/>
    <x v="4"/>
    <x v="343"/>
    <n v="2907.8649999999998"/>
    <x v="0"/>
    <x v="4"/>
  </r>
  <r>
    <x v="407"/>
    <x v="407"/>
    <s v="The story of the 1886 Haymarket Riot explored through the history of the Haymarket Police Memorial Statue."/>
    <n v="2000"/>
    <n v="2031"/>
    <x v="0"/>
    <x v="0"/>
    <x v="0"/>
    <n v="1321739650"/>
    <n v="1316552050"/>
    <b v="0"/>
    <x v="19"/>
    <b v="1"/>
    <x v="4"/>
    <x v="344"/>
    <n v="2015.5"/>
    <x v="0"/>
    <x v="4"/>
  </r>
  <r>
    <x v="408"/>
    <x v="408"/>
    <s v="A documentary exploring the phenomenon of custom and branded yarmulkes in Jewish-American communities."/>
    <n v="6000"/>
    <n v="6086.26"/>
    <x v="0"/>
    <x v="0"/>
    <x v="0"/>
    <n v="1383676790"/>
    <n v="1380217190"/>
    <b v="0"/>
    <x v="44"/>
    <b v="1"/>
    <x v="4"/>
    <x v="345"/>
    <n v="6043.13"/>
    <x v="0"/>
    <x v="4"/>
  </r>
  <r>
    <x v="409"/>
    <x v="409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x v="41"/>
    <b v="1"/>
    <x v="4"/>
    <x v="346"/>
    <n v="592"/>
    <x v="0"/>
    <x v="4"/>
  </r>
  <r>
    <x v="410"/>
    <x v="410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x v="63"/>
    <b v="1"/>
    <x v="4"/>
    <x v="347"/>
    <n v="1141.5"/>
    <x v="0"/>
    <x v="4"/>
  </r>
  <r>
    <x v="411"/>
    <x v="411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x v="198"/>
    <b v="1"/>
    <x v="4"/>
    <x v="348"/>
    <n v="30157.5"/>
    <x v="0"/>
    <x v="4"/>
  </r>
  <r>
    <x v="412"/>
    <x v="412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x v="165"/>
    <b v="1"/>
    <x v="4"/>
    <x v="349"/>
    <n v="2835.5"/>
    <x v="0"/>
    <x v="4"/>
  </r>
  <r>
    <x v="413"/>
    <x v="413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x v="199"/>
    <b v="1"/>
    <x v="4"/>
    <x v="350"/>
    <n v="13125.5"/>
    <x v="0"/>
    <x v="4"/>
  </r>
  <r>
    <x v="414"/>
    <x v="414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x v="200"/>
    <b v="1"/>
    <x v="4"/>
    <x v="351"/>
    <n v="18764"/>
    <x v="0"/>
    <x v="4"/>
  </r>
  <r>
    <x v="415"/>
    <x v="415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x v="64"/>
    <b v="1"/>
    <x v="4"/>
    <x v="352"/>
    <n v="1415.03"/>
    <x v="0"/>
    <x v="4"/>
  </r>
  <r>
    <x v="416"/>
    <x v="416"/>
    <s v="35,000 pounds of food to a city. Highlighting the &quot;Convoy New Britain&quot; event from birth to beyond."/>
    <n v="1000"/>
    <n v="1202.17"/>
    <x v="0"/>
    <x v="0"/>
    <x v="0"/>
    <n v="1391851831"/>
    <n v="1389259831"/>
    <b v="0"/>
    <x v="20"/>
    <b v="1"/>
    <x v="4"/>
    <x v="353"/>
    <n v="1101.085"/>
    <x v="0"/>
    <x v="4"/>
  </r>
  <r>
    <x v="417"/>
    <x v="417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x v="47"/>
    <b v="1"/>
    <x v="4"/>
    <x v="354"/>
    <n v="10513"/>
    <x v="0"/>
    <x v="4"/>
  </r>
  <r>
    <x v="418"/>
    <x v="418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x v="201"/>
    <b v="1"/>
    <x v="4"/>
    <x v="355"/>
    <n v="22471"/>
    <x v="0"/>
    <x v="4"/>
  </r>
  <r>
    <x v="419"/>
    <x v="419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x v="196"/>
    <b v="1"/>
    <x v="4"/>
    <x v="356"/>
    <n v="8017.5"/>
    <x v="0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x v="83"/>
    <b v="0"/>
    <x v="5"/>
    <x v="357"/>
    <n v="1657.25"/>
    <x v="0"/>
    <x v="5"/>
  </r>
  <r>
    <x v="421"/>
    <x v="421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x v="79"/>
    <b v="0"/>
    <x v="5"/>
    <x v="358"/>
    <n v="7650.5"/>
    <x v="0"/>
    <x v="5"/>
  </r>
  <r>
    <x v="422"/>
    <x v="422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x v="8"/>
    <b v="0"/>
    <x v="5"/>
    <x v="359"/>
    <n v="20215"/>
    <x v="0"/>
    <x v="5"/>
  </r>
  <r>
    <x v="423"/>
    <x v="423"/>
    <s v="from the makers of COPS: Skyrim comes the Dark Brotherhood. a dramatic series created with Skyrim machinima."/>
    <n v="20000"/>
    <n v="153"/>
    <x v="2"/>
    <x v="0"/>
    <x v="0"/>
    <n v="1370470430"/>
    <n v="1367878430"/>
    <b v="0"/>
    <x v="62"/>
    <b v="0"/>
    <x v="5"/>
    <x v="360"/>
    <n v="10076.5"/>
    <x v="0"/>
    <x v="5"/>
  </r>
  <r>
    <x v="424"/>
    <x v="424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x v="81"/>
    <b v="0"/>
    <x v="5"/>
    <x v="361"/>
    <n v="1601.95"/>
    <x v="0"/>
    <x v="5"/>
  </r>
  <r>
    <x v="425"/>
    <x v="425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x v="84"/>
    <b v="0"/>
    <x v="5"/>
    <x v="362"/>
    <n v="25003"/>
    <x v="0"/>
    <x v="5"/>
  </r>
  <r>
    <x v="426"/>
    <x v="426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x v="22"/>
    <b v="0"/>
    <x v="5"/>
    <x v="363"/>
    <n v="5066.5"/>
    <x v="0"/>
    <x v="5"/>
  </r>
  <r>
    <x v="427"/>
    <x v="427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x v="78"/>
    <b v="0"/>
    <x v="5"/>
    <x v="109"/>
    <n v="3250"/>
    <x v="0"/>
    <x v="5"/>
  </r>
  <r>
    <x v="428"/>
    <x v="428"/>
    <s v="Fresh, fun, entertaining Bible stories on YouTube, stop-motion style."/>
    <n v="12000"/>
    <n v="676"/>
    <x v="2"/>
    <x v="0"/>
    <x v="0"/>
    <n v="1402956000"/>
    <n v="1400523845"/>
    <b v="0"/>
    <x v="62"/>
    <b v="0"/>
    <x v="5"/>
    <x v="364"/>
    <n v="6338"/>
    <x v="0"/>
    <x v="5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x v="78"/>
    <b v="0"/>
    <x v="5"/>
    <x v="109"/>
    <n v="2500"/>
    <x v="0"/>
    <x v="5"/>
  </r>
  <r>
    <x v="430"/>
    <x v="430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x v="81"/>
    <b v="0"/>
    <x v="5"/>
    <x v="365"/>
    <n v="512"/>
    <x v="0"/>
    <x v="5"/>
  </r>
  <r>
    <x v="431"/>
    <x v="431"/>
    <s v="A short stop motion animated film of a man on his way home when strange goings on start to happen on his journey."/>
    <n v="3000"/>
    <n v="415"/>
    <x v="2"/>
    <x v="1"/>
    <x v="1"/>
    <n v="1467752083"/>
    <n v="1465160083"/>
    <b v="0"/>
    <x v="22"/>
    <b v="0"/>
    <x v="5"/>
    <x v="366"/>
    <n v="1707.5"/>
    <x v="0"/>
    <x v="5"/>
  </r>
  <r>
    <x v="432"/>
    <x v="432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x v="22"/>
    <b v="0"/>
    <x v="5"/>
    <x v="367"/>
    <n v="3285"/>
    <x v="0"/>
    <x v="5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x v="78"/>
    <b v="0"/>
    <x v="5"/>
    <x v="109"/>
    <n v="1500"/>
    <x v="0"/>
    <x v="5"/>
  </r>
  <r>
    <x v="434"/>
    <x v="434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x v="84"/>
    <b v="0"/>
    <x v="5"/>
    <x v="152"/>
    <n v="1312.5"/>
    <x v="0"/>
    <x v="5"/>
  </r>
  <r>
    <x v="435"/>
    <x v="435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x v="83"/>
    <b v="0"/>
    <x v="5"/>
    <x v="368"/>
    <n v="55001.5"/>
    <x v="0"/>
    <x v="5"/>
  </r>
  <r>
    <x v="436"/>
    <x v="436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x v="78"/>
    <b v="0"/>
    <x v="5"/>
    <x v="109"/>
    <n v="500"/>
    <x v="0"/>
    <x v="5"/>
  </r>
  <r>
    <x v="437"/>
    <x v="437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x v="78"/>
    <b v="0"/>
    <x v="5"/>
    <x v="109"/>
    <n v="3500"/>
    <x v="0"/>
    <x v="5"/>
  </r>
  <r>
    <x v="438"/>
    <x v="438"/>
    <s v="As Smyton pushes himself to become respected, he unlocks secrets about himself and the world around him."/>
    <n v="20000"/>
    <n v="1876"/>
    <x v="2"/>
    <x v="0"/>
    <x v="0"/>
    <n v="1447830958"/>
    <n v="1445235358"/>
    <b v="0"/>
    <x v="202"/>
    <b v="0"/>
    <x v="5"/>
    <x v="369"/>
    <n v="10938"/>
    <x v="0"/>
    <x v="5"/>
  </r>
  <r>
    <x v="439"/>
    <x v="439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x v="78"/>
    <b v="0"/>
    <x v="5"/>
    <x v="109"/>
    <n v="225"/>
    <x v="0"/>
    <x v="5"/>
  </r>
  <r>
    <x v="440"/>
    <x v="440"/>
    <s v="A stop-motion animation made by a one girl team, with a camera, creativity, and a lot of determination."/>
    <n v="5000"/>
    <n v="5"/>
    <x v="2"/>
    <x v="0"/>
    <x v="0"/>
    <n v="1458859153"/>
    <n v="1456270753"/>
    <b v="0"/>
    <x v="29"/>
    <b v="0"/>
    <x v="5"/>
    <x v="370"/>
    <n v="2502.5"/>
    <x v="0"/>
    <x v="5"/>
  </r>
  <r>
    <x v="441"/>
    <x v="441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x v="78"/>
    <b v="0"/>
    <x v="5"/>
    <x v="109"/>
    <n v="200"/>
    <x v="0"/>
    <x v="5"/>
  </r>
  <r>
    <x v="442"/>
    <x v="442"/>
    <s v="Doomsday is here"/>
    <n v="17000"/>
    <n v="6691"/>
    <x v="2"/>
    <x v="0"/>
    <x v="0"/>
    <n v="1424380783"/>
    <n v="1421788783"/>
    <b v="0"/>
    <x v="57"/>
    <b v="0"/>
    <x v="5"/>
    <x v="371"/>
    <n v="11845.5"/>
    <x v="0"/>
    <x v="5"/>
  </r>
  <r>
    <x v="443"/>
    <x v="443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x v="84"/>
    <b v="0"/>
    <x v="5"/>
    <x v="370"/>
    <n v="5005"/>
    <x v="0"/>
    <x v="5"/>
  </r>
  <r>
    <x v="444"/>
    <x v="444"/>
    <s v="An upcoming animated web sitcom series centered around dealing with life, love, and relationships."/>
    <n v="1000"/>
    <n v="50"/>
    <x v="2"/>
    <x v="0"/>
    <x v="0"/>
    <n v="1329342361"/>
    <n v="1324158361"/>
    <b v="0"/>
    <x v="29"/>
    <b v="0"/>
    <x v="5"/>
    <x v="152"/>
    <n v="525"/>
    <x v="0"/>
    <x v="5"/>
  </r>
  <r>
    <x v="445"/>
    <x v="445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x v="84"/>
    <b v="0"/>
    <x v="5"/>
    <x v="372"/>
    <n v="30001"/>
    <x v="0"/>
    <x v="5"/>
  </r>
  <r>
    <x v="446"/>
    <x v="446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x v="38"/>
    <b v="0"/>
    <x v="5"/>
    <x v="373"/>
    <n v="5633"/>
    <x v="0"/>
    <x v="5"/>
  </r>
  <r>
    <x v="447"/>
    <x v="447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x v="29"/>
    <b v="0"/>
    <x v="5"/>
    <x v="374"/>
    <n v="15002.5"/>
    <x v="0"/>
    <x v="5"/>
  </r>
  <r>
    <x v="448"/>
    <x v="448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x v="80"/>
    <b v="0"/>
    <x v="5"/>
    <x v="375"/>
    <n v="1291.0050000000001"/>
    <x v="0"/>
    <x v="5"/>
  </r>
  <r>
    <x v="449"/>
    <x v="449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x v="81"/>
    <b v="0"/>
    <x v="5"/>
    <x v="376"/>
    <n v="1022.5"/>
    <x v="0"/>
    <x v="5"/>
  </r>
  <r>
    <x v="450"/>
    <x v="450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x v="63"/>
    <b v="0"/>
    <x v="5"/>
    <x v="377"/>
    <n v="25198"/>
    <x v="0"/>
    <x v="5"/>
  </r>
  <r>
    <x v="451"/>
    <x v="451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x v="78"/>
    <b v="0"/>
    <x v="5"/>
    <x v="109"/>
    <n v="10000"/>
    <x v="0"/>
    <x v="5"/>
  </r>
  <r>
    <x v="452"/>
    <x v="452"/>
    <s v="A man must find his way out of the depths of the shadows by using the aid of a little girl."/>
    <n v="750"/>
    <n v="480"/>
    <x v="2"/>
    <x v="0"/>
    <x v="0"/>
    <n v="1431536015"/>
    <n v="1428944015"/>
    <b v="0"/>
    <x v="8"/>
    <b v="0"/>
    <x v="5"/>
    <x v="378"/>
    <n v="615"/>
    <x v="0"/>
    <x v="5"/>
  </r>
  <r>
    <x v="453"/>
    <x v="453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x v="84"/>
    <b v="0"/>
    <x v="5"/>
    <x v="379"/>
    <n v="47450.5"/>
    <x v="0"/>
    <x v="5"/>
  </r>
  <r>
    <x v="454"/>
    <x v="454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x v="81"/>
    <b v="0"/>
    <x v="5"/>
    <x v="380"/>
    <n v="5041"/>
    <x v="0"/>
    <x v="5"/>
  </r>
  <r>
    <x v="455"/>
    <x v="455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x v="84"/>
    <b v="0"/>
    <x v="5"/>
    <x v="381"/>
    <n v="32522.5"/>
    <x v="0"/>
    <x v="5"/>
  </r>
  <r>
    <x v="456"/>
    <x v="456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x v="83"/>
    <b v="0"/>
    <x v="5"/>
    <x v="382"/>
    <n v="4474.5"/>
    <x v="0"/>
    <x v="5"/>
  </r>
  <r>
    <x v="457"/>
    <x v="457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x v="78"/>
    <b v="0"/>
    <x v="5"/>
    <x v="109"/>
    <n v="10000"/>
    <x v="0"/>
    <x v="5"/>
  </r>
  <r>
    <x v="458"/>
    <x v="458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x v="72"/>
    <b v="0"/>
    <x v="5"/>
    <x v="383"/>
    <n v="5410.5"/>
    <x v="0"/>
    <x v="5"/>
  </r>
  <r>
    <x v="459"/>
    <x v="459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x v="29"/>
    <b v="0"/>
    <x v="5"/>
    <x v="384"/>
    <n v="19512.5"/>
    <x v="0"/>
    <x v="5"/>
  </r>
  <r>
    <x v="460"/>
    <x v="460"/>
    <s v="An animated web series about biological evolution gone haywire."/>
    <n v="8500"/>
    <n v="25"/>
    <x v="2"/>
    <x v="0"/>
    <x v="0"/>
    <n v="1401595200"/>
    <n v="1398862875"/>
    <b v="0"/>
    <x v="84"/>
    <b v="0"/>
    <x v="5"/>
    <x v="385"/>
    <n v="4262.5"/>
    <x v="0"/>
    <x v="5"/>
  </r>
  <r>
    <x v="461"/>
    <x v="461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x v="78"/>
    <b v="0"/>
    <x v="5"/>
    <x v="109"/>
    <n v="275"/>
    <x v="0"/>
    <x v="5"/>
  </r>
  <r>
    <x v="462"/>
    <x v="462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x v="78"/>
    <b v="0"/>
    <x v="5"/>
    <x v="109"/>
    <n v="50000"/>
    <x v="0"/>
    <x v="5"/>
  </r>
  <r>
    <x v="463"/>
    <x v="463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x v="202"/>
    <b v="0"/>
    <x v="5"/>
    <x v="386"/>
    <n v="28125"/>
    <x v="0"/>
    <x v="5"/>
  </r>
  <r>
    <x v="464"/>
    <x v="464"/>
    <s v="We are three students that want to make a short PokÃ©mon movie as a school project!"/>
    <n v="1010"/>
    <n v="1"/>
    <x v="2"/>
    <x v="12"/>
    <x v="3"/>
    <n v="1463602935"/>
    <n v="1461874935"/>
    <b v="0"/>
    <x v="29"/>
    <b v="0"/>
    <x v="5"/>
    <x v="387"/>
    <n v="505.5"/>
    <x v="0"/>
    <x v="5"/>
  </r>
  <r>
    <x v="465"/>
    <x v="465"/>
    <s v="&quot;Amp&quot; is a short film about a robot with needs."/>
    <n v="512"/>
    <n v="138"/>
    <x v="2"/>
    <x v="0"/>
    <x v="0"/>
    <n v="1403837574"/>
    <n v="1402455174"/>
    <b v="0"/>
    <x v="22"/>
    <b v="0"/>
    <x v="5"/>
    <x v="388"/>
    <n v="325"/>
    <x v="0"/>
    <x v="5"/>
  </r>
  <r>
    <x v="466"/>
    <x v="466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x v="81"/>
    <b v="0"/>
    <x v="5"/>
    <x v="389"/>
    <n v="5038"/>
    <x v="0"/>
    <x v="5"/>
  </r>
  <r>
    <x v="467"/>
    <x v="467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x v="70"/>
    <b v="0"/>
    <x v="5"/>
    <x v="390"/>
    <n v="12157.5"/>
    <x v="0"/>
    <x v="5"/>
  </r>
  <r>
    <x v="468"/>
    <x v="468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x v="78"/>
    <b v="0"/>
    <x v="5"/>
    <x v="109"/>
    <n v="3750"/>
    <x v="0"/>
    <x v="5"/>
  </r>
  <r>
    <x v="469"/>
    <x v="469"/>
    <s v="Create a personalised animation film using your child's name and photo."/>
    <n v="6000"/>
    <n v="0"/>
    <x v="2"/>
    <x v="1"/>
    <x v="1"/>
    <n v="1409960724"/>
    <n v="1404776724"/>
    <b v="0"/>
    <x v="78"/>
    <b v="0"/>
    <x v="5"/>
    <x v="109"/>
    <n v="3000"/>
    <x v="0"/>
    <x v="5"/>
  </r>
  <r>
    <x v="470"/>
    <x v="470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x v="84"/>
    <b v="0"/>
    <x v="5"/>
    <x v="391"/>
    <n v="2525.5"/>
    <x v="0"/>
    <x v="5"/>
  </r>
  <r>
    <x v="471"/>
    <x v="471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x v="203"/>
    <b v="0"/>
    <x v="5"/>
    <x v="392"/>
    <n v="30770.5"/>
    <x v="0"/>
    <x v="5"/>
  </r>
  <r>
    <x v="472"/>
    <x v="472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x v="81"/>
    <b v="0"/>
    <x v="5"/>
    <x v="393"/>
    <n v="470.5"/>
    <x v="0"/>
    <x v="5"/>
  </r>
  <r>
    <x v="473"/>
    <x v="473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x v="25"/>
    <b v="0"/>
    <x v="5"/>
    <x v="394"/>
    <n v="15430.5"/>
    <x v="0"/>
    <x v="5"/>
  </r>
  <r>
    <x v="474"/>
    <x v="474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x v="29"/>
    <b v="0"/>
    <x v="5"/>
    <x v="395"/>
    <n v="1650.5"/>
    <x v="0"/>
    <x v="5"/>
  </r>
  <r>
    <x v="475"/>
    <x v="475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x v="78"/>
    <b v="0"/>
    <x v="5"/>
    <x v="109"/>
    <n v="1000"/>
    <x v="0"/>
    <x v="5"/>
  </r>
  <r>
    <x v="476"/>
    <x v="476"/>
    <s v="Animated Music Videos that teach kids how to read."/>
    <n v="220000"/>
    <n v="4906.59"/>
    <x v="2"/>
    <x v="0"/>
    <x v="0"/>
    <n v="1401767940"/>
    <n v="1398727441"/>
    <b v="0"/>
    <x v="204"/>
    <b v="0"/>
    <x v="5"/>
    <x v="396"/>
    <n v="112453.295"/>
    <x v="0"/>
    <x v="5"/>
  </r>
  <r>
    <x v="477"/>
    <x v="477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x v="78"/>
    <b v="0"/>
    <x v="5"/>
    <x v="109"/>
    <n v="750"/>
    <x v="0"/>
    <x v="5"/>
  </r>
  <r>
    <x v="478"/>
    <x v="478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x v="78"/>
    <b v="0"/>
    <x v="5"/>
    <x v="109"/>
    <n v="5000"/>
    <x v="0"/>
    <x v="5"/>
  </r>
  <r>
    <x v="479"/>
    <x v="479"/>
    <s v="ANIMATING the most INFAMOUS Math Courses in America and TRANSLATING them for the mathematical underdog!"/>
    <n v="15000"/>
    <n v="4884"/>
    <x v="2"/>
    <x v="0"/>
    <x v="0"/>
    <n v="1416566835"/>
    <n v="1411379235"/>
    <b v="0"/>
    <x v="165"/>
    <b v="0"/>
    <x v="5"/>
    <x v="397"/>
    <n v="9942"/>
    <x v="0"/>
    <x v="5"/>
  </r>
  <r>
    <x v="480"/>
    <x v="480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x v="205"/>
    <b v="0"/>
    <x v="5"/>
    <x v="398"/>
    <n v="23882"/>
    <x v="0"/>
    <x v="5"/>
  </r>
  <r>
    <x v="481"/>
    <x v="481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x v="64"/>
    <b v="0"/>
    <x v="5"/>
    <x v="399"/>
    <n v="15915"/>
    <x v="0"/>
    <x v="5"/>
  </r>
  <r>
    <x v="482"/>
    <x v="482"/>
    <s v="Help me quit my day job and also create animated Stand-up routines from local up and coming comedians."/>
    <n v="10000"/>
    <n v="10"/>
    <x v="2"/>
    <x v="0"/>
    <x v="0"/>
    <n v="1460644440"/>
    <n v="1458336690"/>
    <b v="0"/>
    <x v="29"/>
    <b v="0"/>
    <x v="5"/>
    <x v="370"/>
    <n v="5005"/>
    <x v="0"/>
    <x v="5"/>
  </r>
  <r>
    <x v="483"/>
    <x v="483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x v="206"/>
    <b v="0"/>
    <x v="5"/>
    <x v="400"/>
    <n v="11265"/>
    <x v="0"/>
    <x v="5"/>
  </r>
  <r>
    <x v="484"/>
    <x v="484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x v="202"/>
    <b v="0"/>
    <x v="5"/>
    <x v="401"/>
    <n v="40074.5"/>
    <x v="0"/>
    <x v="5"/>
  </r>
  <r>
    <x v="485"/>
    <x v="485"/>
    <s v="Last few days to make this toon a reality! 5 funny toons for YOU! See the pilot episode here!"/>
    <n v="37956"/>
    <n v="8315.01"/>
    <x v="2"/>
    <x v="1"/>
    <x v="1"/>
    <n v="1368792499"/>
    <n v="1366200499"/>
    <b v="0"/>
    <x v="207"/>
    <b v="0"/>
    <x v="5"/>
    <x v="402"/>
    <n v="23135.505000000001"/>
    <x v="0"/>
    <x v="5"/>
  </r>
  <r>
    <x v="486"/>
    <x v="486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x v="29"/>
    <b v="0"/>
    <x v="5"/>
    <x v="403"/>
    <n v="275025"/>
    <x v="0"/>
    <x v="5"/>
  </r>
  <r>
    <x v="487"/>
    <x v="487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x v="78"/>
    <b v="0"/>
    <x v="5"/>
    <x v="109"/>
    <n v="25000"/>
    <x v="0"/>
    <x v="5"/>
  </r>
  <r>
    <x v="488"/>
    <x v="488"/>
    <s v="When humans left the earth, the animals took over the city. What could go wrong? Well...everything!"/>
    <n v="12000"/>
    <n v="0"/>
    <x v="2"/>
    <x v="0"/>
    <x v="0"/>
    <n v="1483924700"/>
    <n v="1481332700"/>
    <b v="0"/>
    <x v="78"/>
    <b v="0"/>
    <x v="5"/>
    <x v="109"/>
    <n v="6000"/>
    <x v="0"/>
    <x v="5"/>
  </r>
  <r>
    <x v="489"/>
    <x v="489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x v="83"/>
    <b v="0"/>
    <x v="5"/>
    <x v="404"/>
    <n v="37606"/>
    <x v="0"/>
    <x v="5"/>
  </r>
  <r>
    <x v="490"/>
    <x v="490"/>
    <s v="Cancelled"/>
    <n v="1000"/>
    <n v="0"/>
    <x v="2"/>
    <x v="0"/>
    <x v="0"/>
    <n v="1345677285"/>
    <n v="1343085285"/>
    <b v="0"/>
    <x v="78"/>
    <b v="0"/>
    <x v="5"/>
    <x v="109"/>
    <n v="500"/>
    <x v="0"/>
    <x v="5"/>
  </r>
  <r>
    <x v="491"/>
    <x v="491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x v="78"/>
    <b v="0"/>
    <x v="5"/>
    <x v="109"/>
    <n v="5000"/>
    <x v="0"/>
    <x v="5"/>
  </r>
  <r>
    <x v="492"/>
    <x v="492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x v="78"/>
    <b v="0"/>
    <x v="5"/>
    <x v="109"/>
    <n v="5000000"/>
    <x v="0"/>
    <x v="5"/>
  </r>
  <r>
    <x v="493"/>
    <x v="493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x v="78"/>
    <b v="0"/>
    <x v="5"/>
    <x v="109"/>
    <n v="15000"/>
    <x v="0"/>
    <x v="5"/>
  </r>
  <r>
    <x v="494"/>
    <x v="494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x v="83"/>
    <b v="0"/>
    <x v="5"/>
    <x v="405"/>
    <n v="10015.5"/>
    <x v="0"/>
    <x v="5"/>
  </r>
  <r>
    <x v="495"/>
    <x v="495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x v="78"/>
    <b v="0"/>
    <x v="5"/>
    <x v="109"/>
    <n v="3500"/>
    <x v="0"/>
    <x v="5"/>
  </r>
  <r>
    <x v="496"/>
    <x v="496"/>
    <s v="The movie is about the adventures of Ethan, Danna, The mysterious inventor and more."/>
    <n v="60000"/>
    <n v="1"/>
    <x v="2"/>
    <x v="0"/>
    <x v="0"/>
    <n v="1392070874"/>
    <n v="1386886874"/>
    <b v="0"/>
    <x v="29"/>
    <b v="0"/>
    <x v="5"/>
    <x v="406"/>
    <n v="30000.5"/>
    <x v="0"/>
    <x v="5"/>
  </r>
  <r>
    <x v="497"/>
    <x v="497"/>
    <s v="live-action/animated series pilot."/>
    <n v="4480"/>
    <n v="30"/>
    <x v="2"/>
    <x v="0"/>
    <x v="0"/>
    <n v="1419483600"/>
    <n v="1414889665"/>
    <b v="0"/>
    <x v="83"/>
    <b v="0"/>
    <x v="5"/>
    <x v="407"/>
    <n v="2255"/>
    <x v="0"/>
    <x v="5"/>
  </r>
  <r>
    <x v="498"/>
    <x v="498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x v="19"/>
    <b v="0"/>
    <x v="5"/>
    <x v="408"/>
    <n v="34051"/>
    <x v="0"/>
    <x v="5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x v="55"/>
    <b v="0"/>
    <x v="5"/>
    <x v="409"/>
    <n v="10955"/>
    <x v="0"/>
    <x v="5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x v="80"/>
    <b v="0"/>
    <x v="5"/>
    <x v="410"/>
    <n v="3357.5"/>
    <x v="0"/>
    <x v="5"/>
  </r>
  <r>
    <x v="501"/>
    <x v="501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x v="78"/>
    <b v="0"/>
    <x v="5"/>
    <x v="109"/>
    <n v="5000"/>
    <x v="0"/>
    <x v="5"/>
  </r>
  <r>
    <x v="502"/>
    <x v="502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x v="80"/>
    <b v="0"/>
    <x v="5"/>
    <x v="411"/>
    <n v="10115"/>
    <x v="0"/>
    <x v="5"/>
  </r>
  <r>
    <x v="503"/>
    <x v="503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x v="82"/>
    <b v="0"/>
    <x v="5"/>
    <x v="412"/>
    <n v="3307"/>
    <x v="0"/>
    <x v="5"/>
  </r>
  <r>
    <x v="504"/>
    <x v="504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x v="81"/>
    <b v="0"/>
    <x v="5"/>
    <x v="413"/>
    <n v="12417.5"/>
    <x v="0"/>
    <x v="5"/>
  </r>
  <r>
    <x v="505"/>
    <x v="505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x v="25"/>
    <b v="0"/>
    <x v="5"/>
    <x v="414"/>
    <n v="6026"/>
    <x v="0"/>
    <x v="5"/>
  </r>
  <r>
    <x v="506"/>
    <x v="506"/>
    <s v="A feature-length 3D animation that depicts what happened when the Son of the Morning rebelled against God."/>
    <n v="200000"/>
    <n v="250"/>
    <x v="2"/>
    <x v="0"/>
    <x v="0"/>
    <n v="1376140520"/>
    <n v="1373548520"/>
    <b v="0"/>
    <x v="29"/>
    <b v="0"/>
    <x v="5"/>
    <x v="415"/>
    <n v="100125"/>
    <x v="0"/>
    <x v="5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x v="73"/>
    <b v="0"/>
    <x v="5"/>
    <x v="416"/>
    <n v="10320"/>
    <x v="0"/>
    <x v="5"/>
  </r>
  <r>
    <x v="508"/>
    <x v="508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x v="83"/>
    <b v="0"/>
    <x v="5"/>
    <x v="417"/>
    <n v="25200"/>
    <x v="0"/>
    <x v="5"/>
  </r>
  <r>
    <x v="509"/>
    <x v="509"/>
    <s v="A hilarious comedy podcast being turned into an animated series  about an indian servant and his boss."/>
    <n v="5000"/>
    <n v="10"/>
    <x v="2"/>
    <x v="1"/>
    <x v="1"/>
    <n v="1435504170"/>
    <n v="1432912170"/>
    <b v="0"/>
    <x v="29"/>
    <b v="0"/>
    <x v="5"/>
    <x v="418"/>
    <n v="2505"/>
    <x v="0"/>
    <x v="5"/>
  </r>
  <r>
    <x v="510"/>
    <x v="510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x v="78"/>
    <b v="0"/>
    <x v="5"/>
    <x v="109"/>
    <n v="7000"/>
    <x v="0"/>
    <x v="5"/>
  </r>
  <r>
    <x v="511"/>
    <x v="511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x v="81"/>
    <b v="0"/>
    <x v="5"/>
    <x v="419"/>
    <n v="2575"/>
    <x v="0"/>
    <x v="5"/>
  </r>
  <r>
    <x v="512"/>
    <x v="512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x v="84"/>
    <b v="0"/>
    <x v="5"/>
    <x v="420"/>
    <n v="4005.5"/>
    <x v="0"/>
    <x v="5"/>
  </r>
  <r>
    <x v="513"/>
    <x v="513"/>
    <s v="A sci-fi fantasy 2.5D anime styled series about some guys trying to save the world, probably..."/>
    <n v="50000"/>
    <n v="6962"/>
    <x v="2"/>
    <x v="0"/>
    <x v="0"/>
    <n v="1471244400"/>
    <n v="1467387705"/>
    <b v="0"/>
    <x v="32"/>
    <b v="0"/>
    <x v="5"/>
    <x v="421"/>
    <n v="28481"/>
    <x v="0"/>
    <x v="5"/>
  </r>
  <r>
    <x v="514"/>
    <x v="514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x v="83"/>
    <b v="0"/>
    <x v="5"/>
    <x v="422"/>
    <n v="775"/>
    <x v="0"/>
    <x v="5"/>
  </r>
  <r>
    <x v="515"/>
    <x v="515"/>
    <s v="A Tale of Faith is an animated short film based on the heartwarming tale by Rebbe Nachman of Breslov."/>
    <n v="97000"/>
    <n v="24651"/>
    <x v="2"/>
    <x v="0"/>
    <x v="0"/>
    <n v="1451389601"/>
    <n v="1447933601"/>
    <b v="0"/>
    <x v="69"/>
    <b v="0"/>
    <x v="5"/>
    <x v="423"/>
    <n v="60825.5"/>
    <x v="0"/>
    <x v="5"/>
  </r>
  <r>
    <x v="516"/>
    <x v="516"/>
    <s v="A big brother style comedy animation series starring famous seafarers"/>
    <n v="5000"/>
    <n v="0"/>
    <x v="2"/>
    <x v="1"/>
    <x v="1"/>
    <n v="1432752080"/>
    <n v="1427568080"/>
    <b v="0"/>
    <x v="78"/>
    <b v="0"/>
    <x v="5"/>
    <x v="109"/>
    <n v="2500"/>
    <x v="0"/>
    <x v="5"/>
  </r>
  <r>
    <x v="517"/>
    <x v="517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x v="83"/>
    <b v="0"/>
    <x v="5"/>
    <x v="424"/>
    <n v="7602.5"/>
    <x v="0"/>
    <x v="5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x v="78"/>
    <b v="0"/>
    <x v="5"/>
    <x v="109"/>
    <n v="3587.5"/>
    <x v="0"/>
    <x v="5"/>
  </r>
  <r>
    <x v="519"/>
    <x v="519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x v="16"/>
    <b v="0"/>
    <x v="5"/>
    <x v="425"/>
    <n v="7373.5"/>
    <x v="0"/>
    <x v="5"/>
  </r>
  <r>
    <x v="520"/>
    <x v="520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x v="69"/>
    <b v="1"/>
    <x v="6"/>
    <x v="426"/>
    <n v="5052.5"/>
    <x v="1"/>
    <x v="6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x v="66"/>
    <b v="1"/>
    <x v="6"/>
    <x v="427"/>
    <n v="5116"/>
    <x v="1"/>
    <x v="6"/>
  </r>
  <r>
    <x v="522"/>
    <x v="522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x v="162"/>
    <b v="1"/>
    <x v="6"/>
    <x v="89"/>
    <n v="3220"/>
    <x v="1"/>
    <x v="6"/>
  </r>
  <r>
    <x v="523"/>
    <x v="523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x v="87"/>
    <b v="1"/>
    <x v="6"/>
    <x v="428"/>
    <n v="5515"/>
    <x v="1"/>
    <x v="6"/>
  </r>
  <r>
    <x v="524"/>
    <x v="524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x v="208"/>
    <b v="1"/>
    <x v="6"/>
    <x v="429"/>
    <n v="3651.7750000000001"/>
    <x v="1"/>
    <x v="6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x v="8"/>
    <b v="1"/>
    <x v="6"/>
    <x v="31"/>
    <n v="12000"/>
    <x v="1"/>
    <x v="6"/>
  </r>
  <r>
    <x v="526"/>
    <x v="526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x v="23"/>
    <b v="1"/>
    <x v="6"/>
    <x v="430"/>
    <n v="1605"/>
    <x v="1"/>
    <x v="6"/>
  </r>
  <r>
    <x v="527"/>
    <x v="527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x v="150"/>
    <b v="1"/>
    <x v="6"/>
    <x v="431"/>
    <n v="10042.5"/>
    <x v="1"/>
    <x v="6"/>
  </r>
  <r>
    <x v="528"/>
    <x v="528"/>
    <s v="A Festival Backed Production of a Full-Length Play."/>
    <n v="1150"/>
    <n v="1330"/>
    <x v="0"/>
    <x v="0"/>
    <x v="0"/>
    <n v="1434921600"/>
    <n v="1433109907"/>
    <b v="0"/>
    <x v="209"/>
    <b v="1"/>
    <x v="6"/>
    <x v="432"/>
    <n v="1240"/>
    <x v="1"/>
    <x v="6"/>
  </r>
  <r>
    <x v="529"/>
    <x v="529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x v="59"/>
    <b v="1"/>
    <x v="6"/>
    <x v="433"/>
    <n v="1382.5"/>
    <x v="1"/>
    <x v="6"/>
  </r>
  <r>
    <x v="530"/>
    <x v="530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x v="60"/>
    <b v="1"/>
    <x v="6"/>
    <x v="434"/>
    <n v="3537.5"/>
    <x v="1"/>
    <x v="6"/>
  </r>
  <r>
    <x v="531"/>
    <x v="531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x v="162"/>
    <b v="1"/>
    <x v="6"/>
    <x v="31"/>
    <n v="4000"/>
    <x v="1"/>
    <x v="6"/>
  </r>
  <r>
    <x v="532"/>
    <x v="532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x v="210"/>
    <b v="1"/>
    <x v="6"/>
    <x v="435"/>
    <n v="11162.5"/>
    <x v="1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x v="57"/>
    <b v="1"/>
    <x v="6"/>
    <x v="20"/>
    <n v="2002"/>
    <x v="1"/>
    <x v="6"/>
  </r>
  <r>
    <x v="534"/>
    <x v="534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x v="53"/>
    <b v="1"/>
    <x v="6"/>
    <x v="436"/>
    <n v="15350"/>
    <x v="1"/>
    <x v="6"/>
  </r>
  <r>
    <x v="535"/>
    <x v="535"/>
    <s v="Weâ€™re producing a Northern Brexit sci-fi play for VAULT festival 2017 and we need your help!"/>
    <n v="2000"/>
    <n v="2050"/>
    <x v="0"/>
    <x v="1"/>
    <x v="1"/>
    <n v="1483707905"/>
    <n v="1481115905"/>
    <b v="0"/>
    <x v="211"/>
    <b v="1"/>
    <x v="6"/>
    <x v="78"/>
    <n v="2025"/>
    <x v="1"/>
    <x v="6"/>
  </r>
  <r>
    <x v="536"/>
    <x v="536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x v="70"/>
    <b v="1"/>
    <x v="6"/>
    <x v="437"/>
    <n v="3601.25"/>
    <x v="1"/>
    <x v="6"/>
  </r>
  <r>
    <x v="537"/>
    <x v="537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x v="211"/>
    <b v="1"/>
    <x v="6"/>
    <x v="11"/>
    <n v="2205"/>
    <x v="1"/>
    <x v="6"/>
  </r>
  <r>
    <x v="538"/>
    <x v="538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x v="65"/>
    <b v="1"/>
    <x v="6"/>
    <x v="438"/>
    <n v="10060.5"/>
    <x v="1"/>
    <x v="6"/>
  </r>
  <r>
    <x v="539"/>
    <x v="539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x v="9"/>
    <b v="1"/>
    <x v="6"/>
    <x v="439"/>
    <n v="501.61"/>
    <x v="1"/>
    <x v="6"/>
  </r>
  <r>
    <x v="540"/>
    <x v="540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x v="29"/>
    <b v="0"/>
    <x v="7"/>
    <x v="440"/>
    <n v="7500.5"/>
    <x v="2"/>
    <x v="7"/>
  </r>
  <r>
    <x v="541"/>
    <x v="541"/>
    <s v="A website dedicated to local Kink Communities; to find others with matching interests and bring them together."/>
    <n v="4500"/>
    <n v="25"/>
    <x v="2"/>
    <x v="0"/>
    <x v="0"/>
    <n v="1446080834"/>
    <n v="1443488834"/>
    <b v="0"/>
    <x v="29"/>
    <b v="0"/>
    <x v="7"/>
    <x v="441"/>
    <n v="2262.5"/>
    <x v="2"/>
    <x v="7"/>
  </r>
  <r>
    <x v="542"/>
    <x v="542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x v="29"/>
    <b v="0"/>
    <x v="7"/>
    <x v="442"/>
    <n v="125000.5"/>
    <x v="2"/>
    <x v="7"/>
  </r>
  <r>
    <x v="543"/>
    <x v="543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x v="84"/>
    <b v="0"/>
    <x v="7"/>
    <x v="443"/>
    <n v="11035"/>
    <x v="2"/>
    <x v="7"/>
  </r>
  <r>
    <x v="544"/>
    <x v="544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x v="84"/>
    <b v="0"/>
    <x v="7"/>
    <x v="444"/>
    <n v="253"/>
    <x v="2"/>
    <x v="7"/>
  </r>
  <r>
    <x v="545"/>
    <x v="545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x v="69"/>
    <b v="0"/>
    <x v="7"/>
    <x v="445"/>
    <n v="31846"/>
    <x v="2"/>
    <x v="7"/>
  </r>
  <r>
    <x v="546"/>
    <x v="546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x v="84"/>
    <b v="0"/>
    <x v="7"/>
    <x v="446"/>
    <n v="30026"/>
    <x v="2"/>
    <x v="7"/>
  </r>
  <r>
    <x v="547"/>
    <x v="547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x v="78"/>
    <b v="0"/>
    <x v="7"/>
    <x v="109"/>
    <n v="3750"/>
    <x v="2"/>
    <x v="7"/>
  </r>
  <r>
    <x v="548"/>
    <x v="548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x v="29"/>
    <b v="0"/>
    <x v="7"/>
    <x v="447"/>
    <n v="5004.5"/>
    <x v="2"/>
    <x v="7"/>
  </r>
  <r>
    <x v="549"/>
    <x v="549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x v="22"/>
    <b v="0"/>
    <x v="7"/>
    <x v="448"/>
    <n v="1284"/>
    <x v="2"/>
    <x v="7"/>
  </r>
  <r>
    <x v="550"/>
    <x v="550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x v="80"/>
    <b v="0"/>
    <x v="7"/>
    <x v="449"/>
    <n v="2517.5"/>
    <x v="2"/>
    <x v="7"/>
  </r>
  <r>
    <x v="551"/>
    <x v="551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x v="33"/>
    <b v="0"/>
    <x v="7"/>
    <x v="450"/>
    <n v="39390.5"/>
    <x v="2"/>
    <x v="7"/>
  </r>
  <r>
    <x v="552"/>
    <x v="552"/>
    <s v="Axoral is a 3d interactive social media interface, with the potential to be so much more, but we need your help!"/>
    <n v="45000"/>
    <n v="0"/>
    <x v="2"/>
    <x v="5"/>
    <x v="5"/>
    <n v="1452350896"/>
    <n v="1447166896"/>
    <b v="0"/>
    <x v="78"/>
    <b v="0"/>
    <x v="7"/>
    <x v="109"/>
    <n v="22500"/>
    <x v="2"/>
    <x v="7"/>
  </r>
  <r>
    <x v="553"/>
    <x v="553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x v="79"/>
    <b v="0"/>
    <x v="7"/>
    <x v="451"/>
    <n v="12561.5"/>
    <x v="2"/>
    <x v="7"/>
  </r>
  <r>
    <x v="554"/>
    <x v="554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x v="19"/>
    <b v="0"/>
    <x v="7"/>
    <x v="452"/>
    <n v="2643"/>
    <x v="2"/>
    <x v="7"/>
  </r>
  <r>
    <x v="555"/>
    <x v="555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x v="78"/>
    <b v="0"/>
    <x v="7"/>
    <x v="109"/>
    <n v="3750"/>
    <x v="2"/>
    <x v="7"/>
  </r>
  <r>
    <x v="556"/>
    <x v="556"/>
    <s v="An educational platform for learning Unified English Braille Code"/>
    <n v="8000"/>
    <n v="200"/>
    <x v="2"/>
    <x v="0"/>
    <x v="0"/>
    <n v="1452112717"/>
    <n v="1449520717"/>
    <b v="0"/>
    <x v="29"/>
    <b v="0"/>
    <x v="7"/>
    <x v="453"/>
    <n v="4100"/>
    <x v="2"/>
    <x v="7"/>
  </r>
  <r>
    <x v="557"/>
    <x v="557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x v="9"/>
    <b v="0"/>
    <x v="7"/>
    <x v="454"/>
    <n v="75683"/>
    <x v="2"/>
    <x v="7"/>
  </r>
  <r>
    <x v="558"/>
    <x v="558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x v="78"/>
    <b v="0"/>
    <x v="7"/>
    <x v="109"/>
    <n v="375"/>
    <x v="2"/>
    <x v="7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x v="29"/>
    <b v="0"/>
    <x v="7"/>
    <x v="455"/>
    <n v="120025"/>
    <x v="2"/>
    <x v="7"/>
  </r>
  <r>
    <x v="560"/>
    <x v="560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x v="83"/>
    <b v="0"/>
    <x v="7"/>
    <x v="362"/>
    <n v="50006"/>
    <x v="2"/>
    <x v="7"/>
  </r>
  <r>
    <x v="561"/>
    <x v="561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x v="84"/>
    <b v="0"/>
    <x v="7"/>
    <x v="456"/>
    <n v="7527.5"/>
    <x v="2"/>
    <x v="7"/>
  </r>
  <r>
    <x v="562"/>
    <x v="562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x v="78"/>
    <b v="0"/>
    <x v="7"/>
    <x v="109"/>
    <n v="25000"/>
    <x v="2"/>
    <x v="7"/>
  </r>
  <r>
    <x v="563"/>
    <x v="563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x v="84"/>
    <b v="0"/>
    <x v="7"/>
    <x v="457"/>
    <n v="37534"/>
    <x v="2"/>
    <x v="7"/>
  </r>
  <r>
    <x v="564"/>
    <x v="564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x v="29"/>
    <b v="0"/>
    <x v="7"/>
    <x v="458"/>
    <n v="9000.5"/>
    <x v="2"/>
    <x v="7"/>
  </r>
  <r>
    <x v="565"/>
    <x v="565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x v="78"/>
    <b v="0"/>
    <x v="7"/>
    <x v="109"/>
    <n v="12500"/>
    <x v="2"/>
    <x v="7"/>
  </r>
  <r>
    <x v="566"/>
    <x v="566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x v="29"/>
    <b v="0"/>
    <x v="7"/>
    <x v="459"/>
    <n v="2500.5"/>
    <x v="2"/>
    <x v="7"/>
  </r>
  <r>
    <x v="567"/>
    <x v="567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x v="78"/>
    <b v="0"/>
    <x v="7"/>
    <x v="109"/>
    <n v="5000"/>
    <x v="2"/>
    <x v="7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x v="81"/>
    <b v="0"/>
    <x v="7"/>
    <x v="460"/>
    <n v="12372.5"/>
    <x v="2"/>
    <x v="7"/>
  </r>
  <r>
    <x v="569"/>
    <x v="569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x v="29"/>
    <b v="0"/>
    <x v="7"/>
    <x v="417"/>
    <n v="1260"/>
    <x v="2"/>
    <x v="7"/>
  </r>
  <r>
    <x v="570"/>
    <x v="570"/>
    <s v="Humans have AM/FM/Satellite radio, kids have radio Disney, pets have DogCatRadio."/>
    <n v="85000"/>
    <n v="142"/>
    <x v="2"/>
    <x v="0"/>
    <x v="0"/>
    <n v="1455822569"/>
    <n v="1453230569"/>
    <b v="0"/>
    <x v="29"/>
    <b v="0"/>
    <x v="7"/>
    <x v="461"/>
    <n v="42571"/>
    <x v="2"/>
    <x v="7"/>
  </r>
  <r>
    <x v="571"/>
    <x v="571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x v="84"/>
    <b v="0"/>
    <x v="7"/>
    <x v="462"/>
    <n v="12553"/>
    <x v="2"/>
    <x v="7"/>
  </r>
  <r>
    <x v="572"/>
    <x v="572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x v="78"/>
    <b v="0"/>
    <x v="7"/>
    <x v="109"/>
    <n v="1250"/>
    <x v="2"/>
    <x v="7"/>
  </r>
  <r>
    <x v="573"/>
    <x v="573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x v="82"/>
    <b v="0"/>
    <x v="7"/>
    <x v="463"/>
    <n v="44617"/>
    <x v="2"/>
    <x v="7"/>
  </r>
  <r>
    <x v="574"/>
    <x v="574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x v="80"/>
    <b v="0"/>
    <x v="7"/>
    <x v="464"/>
    <n v="5630"/>
    <x v="2"/>
    <x v="7"/>
  </r>
  <r>
    <x v="575"/>
    <x v="575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x v="80"/>
    <b v="0"/>
    <x v="7"/>
    <x v="465"/>
    <n v="30129.5"/>
    <x v="2"/>
    <x v="7"/>
  </r>
  <r>
    <x v="576"/>
    <x v="576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x v="29"/>
    <b v="0"/>
    <x v="7"/>
    <x v="466"/>
    <n v="40000.5"/>
    <x v="2"/>
    <x v="7"/>
  </r>
  <r>
    <x v="577"/>
    <x v="577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x v="29"/>
    <b v="0"/>
    <x v="7"/>
    <x v="418"/>
    <n v="2505"/>
    <x v="2"/>
    <x v="7"/>
  </r>
  <r>
    <x v="578"/>
    <x v="578"/>
    <s v="weBuy trade built on technology and Crowd Sourced Power"/>
    <n v="125000"/>
    <n v="14"/>
    <x v="2"/>
    <x v="1"/>
    <x v="1"/>
    <n v="1441633993"/>
    <n v="1439560393"/>
    <b v="0"/>
    <x v="63"/>
    <b v="0"/>
    <x v="7"/>
    <x v="467"/>
    <n v="62507"/>
    <x v="2"/>
    <x v="7"/>
  </r>
  <r>
    <x v="579"/>
    <x v="579"/>
    <s v="Learn classic and public key cryptography with a full proof-of-concept system in JavaScript."/>
    <n v="12000"/>
    <n v="175"/>
    <x v="2"/>
    <x v="0"/>
    <x v="0"/>
    <n v="1419539223"/>
    <n v="1416947223"/>
    <b v="0"/>
    <x v="81"/>
    <b v="0"/>
    <x v="7"/>
    <x v="468"/>
    <n v="6087.5"/>
    <x v="2"/>
    <x v="7"/>
  </r>
  <r>
    <x v="580"/>
    <x v="580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x v="29"/>
    <b v="0"/>
    <x v="7"/>
    <x v="108"/>
    <n v="1500.5"/>
    <x v="2"/>
    <x v="7"/>
  </r>
  <r>
    <x v="581"/>
    <x v="581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x v="78"/>
    <b v="0"/>
    <x v="7"/>
    <x v="109"/>
    <n v="200"/>
    <x v="2"/>
    <x v="7"/>
  </r>
  <r>
    <x v="582"/>
    <x v="582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x v="78"/>
    <b v="0"/>
    <x v="7"/>
    <x v="109"/>
    <n v="50000"/>
    <x v="2"/>
    <x v="7"/>
  </r>
  <r>
    <x v="583"/>
    <x v="583"/>
    <s v="HackersArchive.com will help rid the web of viruses and scams found everywhere else you look!"/>
    <n v="9000"/>
    <n v="1"/>
    <x v="2"/>
    <x v="0"/>
    <x v="0"/>
    <n v="1426800687"/>
    <n v="1424212287"/>
    <b v="0"/>
    <x v="29"/>
    <b v="0"/>
    <x v="7"/>
    <x v="469"/>
    <n v="4500.5"/>
    <x v="2"/>
    <x v="7"/>
  </r>
  <r>
    <x v="584"/>
    <x v="584"/>
    <s v="Script Call takes your presentation from the wall to your audience; from your device to theirs."/>
    <n v="1000"/>
    <n v="10"/>
    <x v="2"/>
    <x v="0"/>
    <x v="0"/>
    <n v="1426522316"/>
    <n v="1423933916"/>
    <b v="0"/>
    <x v="84"/>
    <b v="0"/>
    <x v="7"/>
    <x v="460"/>
    <n v="505"/>
    <x v="2"/>
    <x v="7"/>
  </r>
  <r>
    <x v="585"/>
    <x v="585"/>
    <s v="SAVE UP TO 40% WHEN YOU SPEND!_x000a__x000a_PRE-ORDER YOUR LINK CARD TODAY"/>
    <n v="9000"/>
    <n v="0"/>
    <x v="2"/>
    <x v="1"/>
    <x v="1"/>
    <n v="1448928000"/>
    <n v="1444123377"/>
    <b v="0"/>
    <x v="78"/>
    <b v="0"/>
    <x v="7"/>
    <x v="109"/>
    <n v="4500"/>
    <x v="2"/>
    <x v="7"/>
  </r>
  <r>
    <x v="586"/>
    <x v="586"/>
    <s v="Employ College is a movement for companies to hire college graduates from their respected institutions."/>
    <n v="10000"/>
    <n v="56"/>
    <x v="2"/>
    <x v="0"/>
    <x v="0"/>
    <n v="1424032207"/>
    <n v="1421440207"/>
    <b v="0"/>
    <x v="80"/>
    <b v="0"/>
    <x v="7"/>
    <x v="470"/>
    <n v="5028"/>
    <x v="2"/>
    <x v="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x v="63"/>
    <b v="0"/>
    <x v="7"/>
    <x v="471"/>
    <n v="16362.5"/>
    <x v="2"/>
    <x v="7"/>
  </r>
  <r>
    <x v="588"/>
    <x v="588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x v="84"/>
    <b v="0"/>
    <x v="7"/>
    <x v="472"/>
    <n v="4650.5"/>
    <x v="2"/>
    <x v="7"/>
  </r>
  <r>
    <x v="589"/>
    <x v="589"/>
    <s v="Services closer than you think..."/>
    <n v="7500"/>
    <n v="1"/>
    <x v="2"/>
    <x v="0"/>
    <x v="0"/>
    <n v="1436366699"/>
    <n v="1435070699"/>
    <b v="0"/>
    <x v="29"/>
    <b v="0"/>
    <x v="7"/>
    <x v="473"/>
    <n v="3750.5"/>
    <x v="2"/>
    <x v="7"/>
  </r>
  <r>
    <x v="590"/>
    <x v="590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x v="82"/>
    <b v="0"/>
    <x v="7"/>
    <x v="474"/>
    <n v="2611.5"/>
    <x v="2"/>
    <x v="7"/>
  </r>
  <r>
    <x v="591"/>
    <x v="591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x v="84"/>
    <b v="0"/>
    <x v="7"/>
    <x v="475"/>
    <n v="50030.5"/>
    <x v="2"/>
    <x v="7"/>
  </r>
  <r>
    <x v="592"/>
    <x v="592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x v="29"/>
    <b v="0"/>
    <x v="7"/>
    <x v="422"/>
    <n v="3875"/>
    <x v="2"/>
    <x v="7"/>
  </r>
  <r>
    <x v="593"/>
    <x v="593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x v="63"/>
    <b v="0"/>
    <x v="7"/>
    <x v="476"/>
    <n v="307.5"/>
    <x v="2"/>
    <x v="7"/>
  </r>
  <r>
    <x v="594"/>
    <x v="594"/>
    <s v="Creating a fitness site that will change the fitness game forever!"/>
    <n v="25000"/>
    <n v="26"/>
    <x v="2"/>
    <x v="0"/>
    <x v="0"/>
    <n v="1460832206"/>
    <n v="1458240206"/>
    <b v="0"/>
    <x v="84"/>
    <b v="0"/>
    <x v="7"/>
    <x v="477"/>
    <n v="12513"/>
    <x v="2"/>
    <x v="7"/>
  </r>
  <r>
    <x v="595"/>
    <x v="595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x v="22"/>
    <b v="0"/>
    <x v="7"/>
    <x v="478"/>
    <n v="50213"/>
    <x v="2"/>
    <x v="7"/>
  </r>
  <r>
    <x v="596"/>
    <x v="596"/>
    <s v="We present digitaibook,com site which can become a free electronic library with your help,"/>
    <n v="20000"/>
    <n v="6"/>
    <x v="2"/>
    <x v="0"/>
    <x v="0"/>
    <n v="1478122292"/>
    <n v="1475530292"/>
    <b v="0"/>
    <x v="84"/>
    <b v="0"/>
    <x v="7"/>
    <x v="479"/>
    <n v="10003"/>
    <x v="2"/>
    <x v="7"/>
  </r>
  <r>
    <x v="597"/>
    <x v="597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x v="84"/>
    <b v="0"/>
    <x v="7"/>
    <x v="480"/>
    <n v="3760"/>
    <x v="2"/>
    <x v="7"/>
  </r>
  <r>
    <x v="598"/>
    <x v="598"/>
    <s v="This is a project to create a crowd-funding site for Urantia Book readers worldwide."/>
    <n v="2500"/>
    <n v="850"/>
    <x v="2"/>
    <x v="0"/>
    <x v="0"/>
    <n v="1417737781"/>
    <n v="1415145781"/>
    <b v="0"/>
    <x v="63"/>
    <b v="0"/>
    <x v="7"/>
    <x v="481"/>
    <n v="1675"/>
    <x v="2"/>
    <x v="7"/>
  </r>
  <r>
    <x v="599"/>
    <x v="599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x v="84"/>
    <b v="0"/>
    <x v="7"/>
    <x v="482"/>
    <n v="25015.5"/>
    <x v="2"/>
    <x v="7"/>
  </r>
  <r>
    <x v="600"/>
    <x v="600"/>
    <s v="Science Technology Engineering and Math + youth = a brighter tomorrow."/>
    <n v="5000"/>
    <n v="100"/>
    <x v="1"/>
    <x v="0"/>
    <x v="0"/>
    <n v="1431198562"/>
    <n v="1426014562"/>
    <b v="0"/>
    <x v="29"/>
    <b v="0"/>
    <x v="7"/>
    <x v="172"/>
    <n v="2550"/>
    <x v="2"/>
    <x v="7"/>
  </r>
  <r>
    <x v="601"/>
    <x v="601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x v="79"/>
    <b v="0"/>
    <x v="7"/>
    <x v="483"/>
    <n v="5070"/>
    <x v="2"/>
    <x v="7"/>
  </r>
  <r>
    <x v="602"/>
    <x v="602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x v="78"/>
    <b v="0"/>
    <x v="7"/>
    <x v="109"/>
    <n v="35000"/>
    <x v="2"/>
    <x v="7"/>
  </r>
  <r>
    <x v="603"/>
    <x v="603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x v="62"/>
    <b v="0"/>
    <x v="7"/>
    <x v="484"/>
    <n v="7795.01"/>
    <x v="2"/>
    <x v="7"/>
  </r>
  <r>
    <x v="604"/>
    <x v="604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x v="78"/>
    <b v="0"/>
    <x v="7"/>
    <x v="109"/>
    <n v="750"/>
    <x v="2"/>
    <x v="7"/>
  </r>
  <r>
    <x v="605"/>
    <x v="605"/>
    <s v="An iPad support care package for your parents / seniors."/>
    <n v="5000"/>
    <n v="131"/>
    <x v="1"/>
    <x v="0"/>
    <x v="0"/>
    <n v="1440318908"/>
    <n v="1436430908"/>
    <b v="0"/>
    <x v="22"/>
    <b v="0"/>
    <x v="7"/>
    <x v="485"/>
    <n v="2565.5"/>
    <x v="2"/>
    <x v="7"/>
  </r>
  <r>
    <x v="606"/>
    <x v="606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x v="29"/>
    <b v="0"/>
    <x v="7"/>
    <x v="418"/>
    <n v="2505"/>
    <x v="2"/>
    <x v="7"/>
  </r>
  <r>
    <x v="607"/>
    <x v="607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x v="78"/>
    <b v="0"/>
    <x v="7"/>
    <x v="109"/>
    <n v="125"/>
    <x v="2"/>
    <x v="7"/>
  </r>
  <r>
    <x v="608"/>
    <x v="608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x v="81"/>
    <b v="0"/>
    <x v="7"/>
    <x v="486"/>
    <n v="75730.5"/>
    <x v="2"/>
    <x v="7"/>
  </r>
  <r>
    <x v="609"/>
    <x v="609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x v="29"/>
    <b v="0"/>
    <x v="7"/>
    <x v="487"/>
    <n v="392.5"/>
    <x v="2"/>
    <x v="7"/>
  </r>
  <r>
    <x v="610"/>
    <x v="610"/>
    <s v="We are creating a Christian social network to empower, educate, and connect Christians all over the world."/>
    <n v="13803"/>
    <n v="0"/>
    <x v="1"/>
    <x v="0"/>
    <x v="0"/>
    <n v="1429732586"/>
    <n v="1427140586"/>
    <b v="0"/>
    <x v="78"/>
    <b v="0"/>
    <x v="7"/>
    <x v="109"/>
    <n v="6901.5"/>
    <x v="2"/>
    <x v="7"/>
  </r>
  <r>
    <x v="611"/>
    <x v="611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x v="78"/>
    <b v="0"/>
    <x v="7"/>
    <x v="109"/>
    <n v="40000"/>
    <x v="2"/>
    <x v="7"/>
  </r>
  <r>
    <x v="612"/>
    <x v="612"/>
    <s v="A Fast and Reliable new Web platform to stream videos from Internet"/>
    <n v="10000"/>
    <n v="0"/>
    <x v="1"/>
    <x v="13"/>
    <x v="3"/>
    <n v="1472777146"/>
    <n v="1470185146"/>
    <b v="0"/>
    <x v="78"/>
    <b v="0"/>
    <x v="7"/>
    <x v="109"/>
    <n v="5000"/>
    <x v="2"/>
    <x v="7"/>
  </r>
  <r>
    <x v="613"/>
    <x v="613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x v="212"/>
    <b v="0"/>
    <x v="7"/>
    <x v="488"/>
    <n v="36409"/>
    <x v="2"/>
    <x v="7"/>
  </r>
  <r>
    <x v="614"/>
    <x v="614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x v="78"/>
    <b v="0"/>
    <x v="7"/>
    <x v="109"/>
    <n v="5000"/>
    <x v="2"/>
    <x v="7"/>
  </r>
  <r>
    <x v="615"/>
    <x v="615"/>
    <s v="The aim of PixlDir is to deliver the most simple, and fast experience when it comes to uploading images to the web."/>
    <n v="515"/>
    <n v="0"/>
    <x v="1"/>
    <x v="4"/>
    <x v="4"/>
    <n v="1443149759"/>
    <n v="1440557759"/>
    <b v="0"/>
    <x v="78"/>
    <b v="0"/>
    <x v="7"/>
    <x v="109"/>
    <n v="257.5"/>
    <x v="2"/>
    <x v="7"/>
  </r>
  <r>
    <x v="616"/>
    <x v="616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x v="78"/>
    <b v="0"/>
    <x v="7"/>
    <x v="109"/>
    <n v="2500"/>
    <x v="2"/>
    <x v="7"/>
  </r>
  <r>
    <x v="617"/>
    <x v="617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x v="83"/>
    <b v="0"/>
    <x v="7"/>
    <x v="419"/>
    <n v="1030"/>
    <x v="2"/>
    <x v="7"/>
  </r>
  <r>
    <x v="618"/>
    <x v="618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x v="78"/>
    <b v="0"/>
    <x v="7"/>
    <x v="109"/>
    <n v="200"/>
    <x v="2"/>
    <x v="7"/>
  </r>
  <r>
    <x v="619"/>
    <x v="619"/>
    <s v="Big Data Sets for researchers interested in improving the quality of life."/>
    <n v="2500000"/>
    <n v="1"/>
    <x v="1"/>
    <x v="0"/>
    <x v="0"/>
    <n v="1416933390"/>
    <n v="1411745790"/>
    <b v="0"/>
    <x v="29"/>
    <b v="0"/>
    <x v="7"/>
    <x v="489"/>
    <n v="1250000.5"/>
    <x v="2"/>
    <x v="7"/>
  </r>
  <r>
    <x v="620"/>
    <x v="620"/>
    <s v="iShopGreen.ca is an online marketplace that connects consumers and suppliers with green products &amp; services"/>
    <n v="30000"/>
    <n v="300"/>
    <x v="1"/>
    <x v="5"/>
    <x v="5"/>
    <n v="1408986738"/>
    <n v="1405098738"/>
    <b v="0"/>
    <x v="29"/>
    <b v="0"/>
    <x v="7"/>
    <x v="460"/>
    <n v="15150"/>
    <x v="2"/>
    <x v="7"/>
  </r>
  <r>
    <x v="621"/>
    <x v="621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x v="83"/>
    <b v="0"/>
    <x v="7"/>
    <x v="490"/>
    <n v="12630.5"/>
    <x v="2"/>
    <x v="7"/>
  </r>
  <r>
    <x v="622"/>
    <x v="622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x v="82"/>
    <b v="0"/>
    <x v="7"/>
    <x v="491"/>
    <n v="3170.5"/>
    <x v="2"/>
    <x v="7"/>
  </r>
  <r>
    <x v="623"/>
    <x v="623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x v="78"/>
    <b v="0"/>
    <x v="7"/>
    <x v="109"/>
    <n v="37500"/>
    <x v="2"/>
    <x v="7"/>
  </r>
  <r>
    <x v="624"/>
    <x v="624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x v="78"/>
    <b v="0"/>
    <x v="7"/>
    <x v="109"/>
    <n v="2500"/>
    <x v="2"/>
    <x v="7"/>
  </r>
  <r>
    <x v="625"/>
    <x v="625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x v="78"/>
    <b v="0"/>
    <x v="7"/>
    <x v="109"/>
    <n v="12500"/>
    <x v="2"/>
    <x v="7"/>
  </r>
  <r>
    <x v="626"/>
    <x v="626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x v="70"/>
    <b v="0"/>
    <x v="7"/>
    <x v="492"/>
    <n v="14672.5"/>
    <x v="2"/>
    <x v="7"/>
  </r>
  <r>
    <x v="627"/>
    <x v="627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x v="29"/>
    <b v="0"/>
    <x v="7"/>
    <x v="459"/>
    <n v="225045"/>
    <x v="2"/>
    <x v="7"/>
  </r>
  <r>
    <x v="628"/>
    <x v="628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x v="78"/>
    <b v="0"/>
    <x v="7"/>
    <x v="109"/>
    <n v="2500"/>
    <x v="2"/>
    <x v="7"/>
  </r>
  <r>
    <x v="629"/>
    <x v="629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x v="83"/>
    <b v="0"/>
    <x v="7"/>
    <x v="493"/>
    <n v="100175"/>
    <x v="2"/>
    <x v="7"/>
  </r>
  <r>
    <x v="630"/>
    <x v="630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x v="29"/>
    <b v="0"/>
    <x v="7"/>
    <x v="494"/>
    <n v="6004.5"/>
    <x v="2"/>
    <x v="7"/>
  </r>
  <r>
    <x v="631"/>
    <x v="631"/>
    <s v="A Powerful Multimedia-Rich Software that aims at making online publishing very simple."/>
    <n v="50000"/>
    <n v="690"/>
    <x v="1"/>
    <x v="5"/>
    <x v="5"/>
    <n v="1464460329"/>
    <n v="1461954729"/>
    <b v="0"/>
    <x v="82"/>
    <b v="0"/>
    <x v="7"/>
    <x v="495"/>
    <n v="25345"/>
    <x v="2"/>
    <x v="7"/>
  </r>
  <r>
    <x v="632"/>
    <x v="632"/>
    <s v="Our goal is to create a system, students can find universities that best match their interests."/>
    <n v="20000"/>
    <n v="0"/>
    <x v="1"/>
    <x v="9"/>
    <x v="3"/>
    <n v="1448470165"/>
    <n v="1445874565"/>
    <b v="0"/>
    <x v="78"/>
    <b v="0"/>
    <x v="7"/>
    <x v="109"/>
    <n v="10000"/>
    <x v="2"/>
    <x v="7"/>
  </r>
  <r>
    <x v="633"/>
    <x v="633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x v="20"/>
    <b v="0"/>
    <x v="7"/>
    <x v="496"/>
    <n v="5622.5"/>
    <x v="2"/>
    <x v="7"/>
  </r>
  <r>
    <x v="634"/>
    <x v="634"/>
    <s v="We help companies to explain what they do in simple, grandma-would-understand terms."/>
    <n v="5000"/>
    <n v="1"/>
    <x v="1"/>
    <x v="0"/>
    <x v="0"/>
    <n v="1424989029"/>
    <n v="1422397029"/>
    <b v="0"/>
    <x v="29"/>
    <b v="0"/>
    <x v="7"/>
    <x v="459"/>
    <n v="2500.5"/>
    <x v="2"/>
    <x v="7"/>
  </r>
  <r>
    <x v="635"/>
    <x v="635"/>
    <s v="Network used for building technology development teams."/>
    <n v="25000"/>
    <n v="2"/>
    <x v="1"/>
    <x v="0"/>
    <x v="0"/>
    <n v="1428804762"/>
    <n v="1426212762"/>
    <b v="0"/>
    <x v="29"/>
    <b v="0"/>
    <x v="7"/>
    <x v="168"/>
    <n v="12501"/>
    <x v="2"/>
    <x v="7"/>
  </r>
  <r>
    <x v="636"/>
    <x v="636"/>
    <s v="With no central location for keto knowledge, keto advice will be a community run knowledge base."/>
    <n v="2000"/>
    <n v="4"/>
    <x v="1"/>
    <x v="1"/>
    <x v="1"/>
    <n v="1433587620"/>
    <n v="1430996150"/>
    <b v="0"/>
    <x v="29"/>
    <b v="0"/>
    <x v="7"/>
    <x v="418"/>
    <n v="1002"/>
    <x v="2"/>
    <x v="7"/>
  </r>
  <r>
    <x v="637"/>
    <x v="637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x v="78"/>
    <b v="0"/>
    <x v="7"/>
    <x v="109"/>
    <n v="50000"/>
    <x v="2"/>
    <x v="7"/>
  </r>
  <r>
    <x v="638"/>
    <x v="638"/>
    <s v="O0"/>
    <n v="200000"/>
    <n v="18"/>
    <x v="1"/>
    <x v="12"/>
    <x v="3"/>
    <n v="1490447662"/>
    <n v="1485267262"/>
    <b v="0"/>
    <x v="79"/>
    <b v="0"/>
    <x v="7"/>
    <x v="497"/>
    <n v="100009"/>
    <x v="2"/>
    <x v="7"/>
  </r>
  <r>
    <x v="639"/>
    <x v="639"/>
    <s v="Development of a Safe and Educational Social Media site for kids."/>
    <n v="1000000"/>
    <n v="1"/>
    <x v="1"/>
    <x v="0"/>
    <x v="0"/>
    <n v="1413208795"/>
    <n v="1408024795"/>
    <b v="0"/>
    <x v="29"/>
    <b v="0"/>
    <x v="7"/>
    <x v="498"/>
    <n v="500000.5"/>
    <x v="2"/>
    <x v="7"/>
  </r>
  <r>
    <x v="640"/>
    <x v="640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x v="84"/>
    <b v="1"/>
    <x v="8"/>
    <x v="499"/>
    <n v="85.5"/>
    <x v="2"/>
    <x v="8"/>
  </r>
  <r>
    <x v="641"/>
    <x v="641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x v="213"/>
    <b v="1"/>
    <x v="8"/>
    <x v="500"/>
    <n v="43832.5"/>
    <x v="2"/>
    <x v="8"/>
  </r>
  <r>
    <x v="642"/>
    <x v="642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x v="214"/>
    <b v="1"/>
    <x v="8"/>
    <x v="501"/>
    <n v="156048.5"/>
    <x v="2"/>
    <x v="8"/>
  </r>
  <r>
    <x v="643"/>
    <x v="643"/>
    <s v="Stylish new phone carrier allows instant access to your smart phone while freeing up your hands."/>
    <n v="25000"/>
    <n v="26452"/>
    <x v="0"/>
    <x v="0"/>
    <x v="0"/>
    <n v="1433085875"/>
    <n v="1428333875"/>
    <b v="0"/>
    <x v="215"/>
    <b v="1"/>
    <x v="8"/>
    <x v="502"/>
    <n v="25726"/>
    <x v="2"/>
    <x v="8"/>
  </r>
  <r>
    <x v="644"/>
    <x v="644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x v="216"/>
    <b v="1"/>
    <x v="8"/>
    <x v="503"/>
    <n v="50014.74"/>
    <x v="2"/>
    <x v="8"/>
  </r>
  <r>
    <x v="645"/>
    <x v="645"/>
    <s v="Ever wanted to own something made out of carbon fiber? Now you can!"/>
    <n v="2000"/>
    <n v="5574"/>
    <x v="0"/>
    <x v="0"/>
    <x v="0"/>
    <n v="1470962274"/>
    <n v="1468370274"/>
    <b v="0"/>
    <x v="186"/>
    <b v="1"/>
    <x v="8"/>
    <x v="504"/>
    <n v="3787"/>
    <x v="2"/>
    <x v="8"/>
  </r>
  <r>
    <x v="646"/>
    <x v="646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x v="74"/>
    <b v="1"/>
    <x v="8"/>
    <x v="505"/>
    <n v="927.505"/>
    <x v="2"/>
    <x v="8"/>
  </r>
  <r>
    <x v="647"/>
    <x v="647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x v="57"/>
    <b v="1"/>
    <x v="8"/>
    <x v="506"/>
    <n v="2070.5"/>
    <x v="2"/>
    <x v="8"/>
  </r>
  <r>
    <x v="648"/>
    <x v="648"/>
    <s v="Get ready for the next product that you canâ€™t live without"/>
    <n v="35000"/>
    <n v="44388"/>
    <x v="0"/>
    <x v="0"/>
    <x v="0"/>
    <n v="1413304708"/>
    <n v="1410280708"/>
    <b v="0"/>
    <x v="74"/>
    <b v="1"/>
    <x v="8"/>
    <x v="507"/>
    <n v="39694"/>
    <x v="2"/>
    <x v="8"/>
  </r>
  <r>
    <x v="649"/>
    <x v="649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x v="141"/>
    <b v="1"/>
    <x v="8"/>
    <x v="508"/>
    <n v="2999.5"/>
    <x v="2"/>
    <x v="8"/>
  </r>
  <r>
    <x v="650"/>
    <x v="650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x v="53"/>
    <b v="1"/>
    <x v="8"/>
    <x v="509"/>
    <n v="1593"/>
    <x v="2"/>
    <x v="8"/>
  </r>
  <r>
    <x v="651"/>
    <x v="651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x v="217"/>
    <b v="1"/>
    <x v="8"/>
    <x v="510"/>
    <n v="25066"/>
    <x v="2"/>
    <x v="8"/>
  </r>
  <r>
    <x v="652"/>
    <x v="652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x v="33"/>
    <b v="1"/>
    <x v="8"/>
    <x v="511"/>
    <n v="3007"/>
    <x v="2"/>
    <x v="8"/>
  </r>
  <r>
    <x v="653"/>
    <x v="653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x v="218"/>
    <b v="1"/>
    <x v="8"/>
    <x v="512"/>
    <n v="90542.25"/>
    <x v="2"/>
    <x v="8"/>
  </r>
  <r>
    <x v="654"/>
    <x v="654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x v="219"/>
    <b v="1"/>
    <x v="8"/>
    <x v="513"/>
    <n v="22037.5"/>
    <x v="2"/>
    <x v="8"/>
  </r>
  <r>
    <x v="655"/>
    <x v="655"/>
    <s v="Meet Spark: The friendly companion that helps you stay awake during the day. Re-released with new features!"/>
    <n v="8000"/>
    <n v="11751"/>
    <x v="0"/>
    <x v="0"/>
    <x v="0"/>
    <n v="1426197512"/>
    <n v="1423609112"/>
    <b v="0"/>
    <x v="220"/>
    <b v="1"/>
    <x v="8"/>
    <x v="514"/>
    <n v="9875.5"/>
    <x v="2"/>
    <x v="8"/>
  </r>
  <r>
    <x v="656"/>
    <x v="656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x v="45"/>
    <b v="1"/>
    <x v="8"/>
    <x v="515"/>
    <n v="7839"/>
    <x v="2"/>
    <x v="8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x v="221"/>
    <b v="1"/>
    <x v="8"/>
    <x v="516"/>
    <n v="16927.5"/>
    <x v="2"/>
    <x v="8"/>
  </r>
  <r>
    <x v="658"/>
    <x v="658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x v="222"/>
    <b v="1"/>
    <x v="8"/>
    <x v="517"/>
    <n v="29532.5"/>
    <x v="2"/>
    <x v="8"/>
  </r>
  <r>
    <x v="659"/>
    <x v="659"/>
    <s v="Sync up your lifestyle"/>
    <n v="3000"/>
    <n v="3017"/>
    <x v="0"/>
    <x v="0"/>
    <x v="0"/>
    <n v="1440339295"/>
    <n v="1437747295"/>
    <b v="0"/>
    <x v="64"/>
    <b v="1"/>
    <x v="8"/>
    <x v="518"/>
    <n v="3008.5"/>
    <x v="2"/>
    <x v="8"/>
  </r>
  <r>
    <x v="660"/>
    <x v="660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x v="59"/>
    <b v="0"/>
    <x v="8"/>
    <x v="519"/>
    <n v="25764.5"/>
    <x v="2"/>
    <x v="8"/>
  </r>
  <r>
    <x v="661"/>
    <x v="661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x v="82"/>
    <b v="0"/>
    <x v="8"/>
    <x v="520"/>
    <n v="5047.5"/>
    <x v="2"/>
    <x v="8"/>
  </r>
  <r>
    <x v="662"/>
    <x v="662"/>
    <s v="A stylish, durable safety light band on your wrist or ankle holds a watch or another modular accessory."/>
    <n v="39000"/>
    <n v="156"/>
    <x v="2"/>
    <x v="0"/>
    <x v="0"/>
    <n v="1421404247"/>
    <n v="1418812247"/>
    <b v="0"/>
    <x v="80"/>
    <b v="0"/>
    <x v="8"/>
    <x v="177"/>
    <n v="19578"/>
    <x v="2"/>
    <x v="8"/>
  </r>
  <r>
    <x v="663"/>
    <x v="663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x v="63"/>
    <b v="0"/>
    <x v="8"/>
    <x v="521"/>
    <n v="100350"/>
    <x v="2"/>
    <x v="8"/>
  </r>
  <r>
    <x v="664"/>
    <x v="664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x v="60"/>
    <b v="0"/>
    <x v="8"/>
    <x v="522"/>
    <n v="6452"/>
    <x v="2"/>
    <x v="8"/>
  </r>
  <r>
    <x v="665"/>
    <x v="665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x v="8"/>
    <b v="0"/>
    <x v="8"/>
    <x v="523"/>
    <n v="5932"/>
    <x v="2"/>
    <x v="8"/>
  </r>
  <r>
    <x v="666"/>
    <x v="666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x v="80"/>
    <b v="0"/>
    <x v="8"/>
    <x v="524"/>
    <n v="100004"/>
    <x v="2"/>
    <x v="8"/>
  </r>
  <r>
    <x v="667"/>
    <x v="667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x v="33"/>
    <b v="0"/>
    <x v="8"/>
    <x v="525"/>
    <n v="27505"/>
    <x v="2"/>
    <x v="8"/>
  </r>
  <r>
    <x v="668"/>
    <x v="668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x v="20"/>
    <b v="0"/>
    <x v="8"/>
    <x v="526"/>
    <n v="7842"/>
    <x v="2"/>
    <x v="8"/>
  </r>
  <r>
    <x v="669"/>
    <x v="669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x v="33"/>
    <b v="0"/>
    <x v="8"/>
    <x v="527"/>
    <n v="121507.5"/>
    <x v="2"/>
    <x v="8"/>
  </r>
  <r>
    <x v="670"/>
    <x v="670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x v="223"/>
    <b v="0"/>
    <x v="8"/>
    <x v="528"/>
    <n v="58174.5"/>
    <x v="2"/>
    <x v="8"/>
  </r>
  <r>
    <x v="671"/>
    <x v="671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x v="41"/>
    <b v="0"/>
    <x v="8"/>
    <x v="529"/>
    <n v="20914"/>
    <x v="2"/>
    <x v="8"/>
  </r>
  <r>
    <x v="672"/>
    <x v="672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x v="224"/>
    <b v="0"/>
    <x v="8"/>
    <x v="530"/>
    <n v="30407"/>
    <x v="2"/>
    <x v="8"/>
  </r>
  <r>
    <x v="673"/>
    <x v="673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x v="83"/>
    <b v="0"/>
    <x v="8"/>
    <x v="531"/>
    <n v="50102.5"/>
    <x v="2"/>
    <x v="8"/>
  </r>
  <r>
    <x v="674"/>
    <x v="674"/>
    <s v="Listen to sounds by feeling an array of vibrational patterns against your body."/>
    <n v="50000"/>
    <n v="15"/>
    <x v="2"/>
    <x v="0"/>
    <x v="0"/>
    <n v="1407811627"/>
    <n v="1402627627"/>
    <b v="0"/>
    <x v="84"/>
    <b v="0"/>
    <x v="8"/>
    <x v="479"/>
    <n v="25007.5"/>
    <x v="2"/>
    <x v="8"/>
  </r>
  <r>
    <x v="675"/>
    <x v="675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x v="55"/>
    <b v="0"/>
    <x v="8"/>
    <x v="532"/>
    <n v="3445.5"/>
    <x v="2"/>
    <x v="8"/>
  </r>
  <r>
    <x v="676"/>
    <x v="676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x v="54"/>
    <b v="0"/>
    <x v="8"/>
    <x v="533"/>
    <n v="50735.5"/>
    <x v="2"/>
    <x v="8"/>
  </r>
  <r>
    <x v="677"/>
    <x v="677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x v="93"/>
    <b v="0"/>
    <x v="8"/>
    <x v="534"/>
    <n v="31396"/>
    <x v="2"/>
    <x v="8"/>
  </r>
  <r>
    <x v="678"/>
    <x v="678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x v="57"/>
    <b v="0"/>
    <x v="8"/>
    <x v="535"/>
    <n v="15054"/>
    <x v="2"/>
    <x v="8"/>
  </r>
  <r>
    <x v="679"/>
    <x v="679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x v="225"/>
    <b v="0"/>
    <x v="8"/>
    <x v="536"/>
    <n v="32913.5"/>
    <x v="2"/>
    <x v="8"/>
  </r>
  <r>
    <x v="680"/>
    <x v="680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x v="135"/>
    <b v="0"/>
    <x v="8"/>
    <x v="537"/>
    <n v="47217"/>
    <x v="2"/>
    <x v="8"/>
  </r>
  <r>
    <x v="681"/>
    <x v="681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x v="29"/>
    <b v="0"/>
    <x v="8"/>
    <x v="167"/>
    <n v="1250.5"/>
    <x v="2"/>
    <x v="8"/>
  </r>
  <r>
    <x v="682"/>
    <x v="682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x v="80"/>
    <b v="0"/>
    <x v="8"/>
    <x v="538"/>
    <n v="25026.5"/>
    <x v="2"/>
    <x v="8"/>
  </r>
  <r>
    <x v="683"/>
    <x v="683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x v="83"/>
    <b v="0"/>
    <x v="8"/>
    <x v="539"/>
    <n v="17649"/>
    <x v="2"/>
    <x v="8"/>
  </r>
  <r>
    <x v="684"/>
    <x v="684"/>
    <s v="Arcus gives your fingers super powers."/>
    <n v="320000"/>
    <n v="23948"/>
    <x v="2"/>
    <x v="0"/>
    <x v="0"/>
    <n v="1406257200"/>
    <n v="1403176891"/>
    <b v="0"/>
    <x v="125"/>
    <b v="0"/>
    <x v="8"/>
    <x v="540"/>
    <n v="171974"/>
    <x v="2"/>
    <x v="8"/>
  </r>
  <r>
    <x v="685"/>
    <x v="685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x v="73"/>
    <b v="0"/>
    <x v="8"/>
    <x v="541"/>
    <n v="1276.5"/>
    <x v="2"/>
    <x v="8"/>
  </r>
  <r>
    <x v="686"/>
    <x v="686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x v="78"/>
    <b v="0"/>
    <x v="8"/>
    <x v="109"/>
    <n v="250000"/>
    <x v="2"/>
    <x v="8"/>
  </r>
  <r>
    <x v="687"/>
    <x v="687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x v="79"/>
    <b v="0"/>
    <x v="8"/>
    <x v="542"/>
    <n v="51775"/>
    <x v="2"/>
    <x v="8"/>
  </r>
  <r>
    <x v="688"/>
    <x v="688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x v="17"/>
    <b v="0"/>
    <x v="8"/>
    <x v="543"/>
    <n v="17299"/>
    <x v="2"/>
    <x v="8"/>
  </r>
  <r>
    <x v="689"/>
    <x v="689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x v="226"/>
    <b v="0"/>
    <x v="8"/>
    <x v="544"/>
    <n v="157648.75"/>
    <x v="2"/>
    <x v="8"/>
  </r>
  <r>
    <x v="690"/>
    <x v="690"/>
    <s v="A radiation shield for your fitness tracker, smartwatch or other wearable smart device"/>
    <n v="20000"/>
    <n v="2468"/>
    <x v="2"/>
    <x v="0"/>
    <x v="0"/>
    <n v="1473400800"/>
    <n v="1469718841"/>
    <b v="0"/>
    <x v="69"/>
    <b v="0"/>
    <x v="8"/>
    <x v="545"/>
    <n v="11234"/>
    <x v="2"/>
    <x v="8"/>
  </r>
  <r>
    <x v="691"/>
    <x v="691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x v="73"/>
    <b v="0"/>
    <x v="8"/>
    <x v="546"/>
    <n v="25130"/>
    <x v="2"/>
    <x v="8"/>
  </r>
  <r>
    <x v="692"/>
    <x v="692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x v="227"/>
    <b v="0"/>
    <x v="8"/>
    <x v="547"/>
    <n v="10653"/>
    <x v="2"/>
    <x v="8"/>
  </r>
  <r>
    <x v="693"/>
    <x v="693"/>
    <s v="Prana is the first wearable combining breath and posture tracking to make your sitting time count."/>
    <n v="100000"/>
    <n v="35338"/>
    <x v="2"/>
    <x v="0"/>
    <x v="0"/>
    <n v="1430421827"/>
    <n v="1427829827"/>
    <b v="0"/>
    <x v="228"/>
    <b v="0"/>
    <x v="8"/>
    <x v="548"/>
    <n v="67669"/>
    <x v="2"/>
    <x v="8"/>
  </r>
  <r>
    <x v="694"/>
    <x v="694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x v="63"/>
    <b v="0"/>
    <x v="8"/>
    <x v="549"/>
    <n v="75295"/>
    <x v="2"/>
    <x v="8"/>
  </r>
  <r>
    <x v="695"/>
    <x v="695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x v="63"/>
    <b v="0"/>
    <x v="8"/>
    <x v="550"/>
    <n v="30318"/>
    <x v="2"/>
    <x v="8"/>
  </r>
  <r>
    <x v="696"/>
    <x v="696"/>
    <s v="Show your fidelity by wearing the Trustee rings! Show where you are (at)!"/>
    <n v="175000"/>
    <n v="1"/>
    <x v="2"/>
    <x v="9"/>
    <x v="3"/>
    <n v="1406326502"/>
    <n v="1403734502"/>
    <b v="0"/>
    <x v="29"/>
    <b v="0"/>
    <x v="8"/>
    <x v="551"/>
    <n v="87500.5"/>
    <x v="2"/>
    <x v="8"/>
  </r>
  <r>
    <x v="697"/>
    <x v="697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x v="229"/>
    <b v="0"/>
    <x v="8"/>
    <x v="552"/>
    <n v="3659.5"/>
    <x v="2"/>
    <x v="8"/>
  </r>
  <r>
    <x v="698"/>
    <x v="698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x v="60"/>
    <b v="0"/>
    <x v="8"/>
    <x v="553"/>
    <n v="57695"/>
    <x v="2"/>
    <x v="8"/>
  </r>
  <r>
    <x v="699"/>
    <x v="699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x v="230"/>
    <b v="0"/>
    <x v="8"/>
    <x v="554"/>
    <n v="118574.37"/>
    <x v="2"/>
    <x v="8"/>
  </r>
  <r>
    <x v="700"/>
    <x v="700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x v="162"/>
    <b v="0"/>
    <x v="8"/>
    <x v="555"/>
    <n v="7701.5"/>
    <x v="2"/>
    <x v="8"/>
  </r>
  <r>
    <x v="701"/>
    <x v="701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x v="64"/>
    <b v="0"/>
    <x v="8"/>
    <x v="556"/>
    <n v="14559"/>
    <x v="2"/>
    <x v="8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x v="77"/>
    <b v="0"/>
    <x v="8"/>
    <x v="557"/>
    <n v="9811.005000000001"/>
    <x v="2"/>
    <x v="8"/>
  </r>
  <r>
    <x v="703"/>
    <x v="703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x v="63"/>
    <b v="0"/>
    <x v="8"/>
    <x v="558"/>
    <n v="7918.5"/>
    <x v="2"/>
    <x v="8"/>
  </r>
  <r>
    <x v="704"/>
    <x v="704"/>
    <s v="Turn you helmet into the safest helmet and don't worry about a thing,you will always have the right fit!!"/>
    <n v="55000"/>
    <n v="481"/>
    <x v="2"/>
    <x v="5"/>
    <x v="5"/>
    <n v="1487565468"/>
    <n v="1482381468"/>
    <b v="0"/>
    <x v="80"/>
    <b v="0"/>
    <x v="8"/>
    <x v="559"/>
    <n v="27740.5"/>
    <x v="2"/>
    <x v="8"/>
  </r>
  <r>
    <x v="705"/>
    <x v="705"/>
    <s v="The closest thing ever to the Holy Grail of wearables technology"/>
    <n v="100000"/>
    <n v="977"/>
    <x v="2"/>
    <x v="9"/>
    <x v="3"/>
    <n v="1484999278"/>
    <n v="1482407278"/>
    <b v="0"/>
    <x v="81"/>
    <b v="0"/>
    <x v="8"/>
    <x v="560"/>
    <n v="50488.5"/>
    <x v="2"/>
    <x v="8"/>
  </r>
  <r>
    <x v="706"/>
    <x v="706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x v="78"/>
    <b v="0"/>
    <x v="8"/>
    <x v="109"/>
    <n v="50000"/>
    <x v="2"/>
    <x v="8"/>
  </r>
  <r>
    <x v="707"/>
    <x v="707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x v="231"/>
    <b v="0"/>
    <x v="8"/>
    <x v="561"/>
    <n v="60835.3"/>
    <x v="2"/>
    <x v="8"/>
  </r>
  <r>
    <x v="708"/>
    <x v="708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x v="232"/>
    <b v="0"/>
    <x v="8"/>
    <x v="562"/>
    <n v="24418.5"/>
    <x v="2"/>
    <x v="8"/>
  </r>
  <r>
    <x v="709"/>
    <x v="709"/>
    <s v="A &quot;handheld&quot; light, which eases the way you illuminate objects and/or paths."/>
    <n v="15000"/>
    <n v="61"/>
    <x v="2"/>
    <x v="0"/>
    <x v="0"/>
    <n v="1417741159"/>
    <n v="1415149159"/>
    <b v="0"/>
    <x v="84"/>
    <b v="0"/>
    <x v="8"/>
    <x v="563"/>
    <n v="7530.5"/>
    <x v="2"/>
    <x v="8"/>
  </r>
  <r>
    <x v="710"/>
    <x v="710"/>
    <s v="Shirts, so technologically advanced, they connect mentally to their audience upon sight."/>
    <n v="1200"/>
    <n v="0"/>
    <x v="2"/>
    <x v="5"/>
    <x v="5"/>
    <n v="1408495440"/>
    <n v="1405640302"/>
    <b v="0"/>
    <x v="78"/>
    <b v="0"/>
    <x v="8"/>
    <x v="109"/>
    <n v="600"/>
    <x v="2"/>
    <x v="8"/>
  </r>
  <r>
    <x v="711"/>
    <x v="711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x v="233"/>
    <b v="0"/>
    <x v="8"/>
    <x v="564"/>
    <n v="66895.5"/>
    <x v="2"/>
    <x v="8"/>
  </r>
  <r>
    <x v="712"/>
    <x v="712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x v="80"/>
    <b v="0"/>
    <x v="8"/>
    <x v="565"/>
    <n v="24302.5"/>
    <x v="2"/>
    <x v="8"/>
  </r>
  <r>
    <x v="713"/>
    <x v="713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x v="29"/>
    <b v="0"/>
    <x v="8"/>
    <x v="566"/>
    <n v="12599.5"/>
    <x v="2"/>
    <x v="8"/>
  </r>
  <r>
    <x v="714"/>
    <x v="714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x v="33"/>
    <b v="0"/>
    <x v="8"/>
    <x v="567"/>
    <n v="8624.5"/>
    <x v="2"/>
    <x v="8"/>
  </r>
  <r>
    <x v="715"/>
    <x v="715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x v="8"/>
    <b v="0"/>
    <x v="8"/>
    <x v="568"/>
    <n v="14444.5"/>
    <x v="2"/>
    <x v="8"/>
  </r>
  <r>
    <x v="716"/>
    <x v="716"/>
    <s v="Translate sight into touch with a wrist-mounted wearable. A revolution for visually impaired people everywhere."/>
    <n v="7000"/>
    <n v="715"/>
    <x v="2"/>
    <x v="0"/>
    <x v="0"/>
    <n v="1417392000"/>
    <n v="1414511307"/>
    <b v="0"/>
    <x v="38"/>
    <b v="0"/>
    <x v="8"/>
    <x v="569"/>
    <n v="3857.5"/>
    <x v="2"/>
    <x v="8"/>
  </r>
  <r>
    <x v="717"/>
    <x v="717"/>
    <s v="Cool air flowing under clothing keeps you cool."/>
    <n v="100000"/>
    <n v="305"/>
    <x v="2"/>
    <x v="0"/>
    <x v="0"/>
    <n v="1409949002"/>
    <n v="1407357002"/>
    <b v="0"/>
    <x v="80"/>
    <b v="0"/>
    <x v="8"/>
    <x v="570"/>
    <n v="50152.5"/>
    <x v="2"/>
    <x v="8"/>
  </r>
  <r>
    <x v="718"/>
    <x v="718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x v="80"/>
    <b v="0"/>
    <x v="8"/>
    <x v="571"/>
    <n v="6045"/>
    <x v="2"/>
    <x v="8"/>
  </r>
  <r>
    <x v="719"/>
    <x v="719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x v="73"/>
    <b v="0"/>
    <x v="8"/>
    <x v="572"/>
    <n v="7597"/>
    <x v="2"/>
    <x v="8"/>
  </r>
  <r>
    <x v="720"/>
    <x v="720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x v="14"/>
    <b v="1"/>
    <x v="9"/>
    <x v="573"/>
    <n v="2317.5"/>
    <x v="3"/>
    <x v="9"/>
  </r>
  <r>
    <x v="721"/>
    <x v="721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x v="46"/>
    <b v="1"/>
    <x v="9"/>
    <x v="574"/>
    <n v="9106.5"/>
    <x v="3"/>
    <x v="9"/>
  </r>
  <r>
    <x v="722"/>
    <x v="722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x v="234"/>
    <b v="1"/>
    <x v="9"/>
    <x v="575"/>
    <n v="29003"/>
    <x v="3"/>
    <x v="9"/>
  </r>
  <r>
    <x v="723"/>
    <x v="723"/>
    <s v="The Definitive (and Slightly Ridiculous) Guide to Enjoying the 2015 Pro Football Season"/>
    <n v="5000"/>
    <n v="5469"/>
    <x v="0"/>
    <x v="0"/>
    <x v="0"/>
    <n v="1438228740"/>
    <n v="1435606549"/>
    <b v="0"/>
    <x v="61"/>
    <b v="1"/>
    <x v="9"/>
    <x v="576"/>
    <n v="5234.5"/>
    <x v="3"/>
    <x v="9"/>
  </r>
  <r>
    <x v="724"/>
    <x v="724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x v="235"/>
    <b v="1"/>
    <x v="9"/>
    <x v="577"/>
    <n v="7191.5050000000001"/>
    <x v="3"/>
    <x v="9"/>
  </r>
  <r>
    <x v="725"/>
    <x v="725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x v="205"/>
    <b v="1"/>
    <x v="9"/>
    <x v="28"/>
    <n v="20035"/>
    <x v="3"/>
    <x v="9"/>
  </r>
  <r>
    <x v="726"/>
    <x v="726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x v="2"/>
    <b v="1"/>
    <x v="9"/>
    <x v="578"/>
    <n v="2517.5"/>
    <x v="3"/>
    <x v="9"/>
  </r>
  <r>
    <x v="727"/>
    <x v="727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x v="184"/>
    <b v="1"/>
    <x v="9"/>
    <x v="579"/>
    <n v="4471.5"/>
    <x v="3"/>
    <x v="9"/>
  </r>
  <r>
    <x v="728"/>
    <x v="728"/>
    <s v="A big idea non-fiction book by an impatient three-time author and insomniac willing to bet on himself."/>
    <n v="7500"/>
    <n v="7917.45"/>
    <x v="0"/>
    <x v="0"/>
    <x v="0"/>
    <n v="1313957157"/>
    <n v="1310069157"/>
    <b v="0"/>
    <x v="208"/>
    <b v="1"/>
    <x v="9"/>
    <x v="580"/>
    <n v="7708.7250000000004"/>
    <x v="3"/>
    <x v="9"/>
  </r>
  <r>
    <x v="729"/>
    <x v="729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x v="148"/>
    <b v="1"/>
    <x v="9"/>
    <x v="314"/>
    <n v="4613"/>
    <x v="3"/>
    <x v="9"/>
  </r>
  <r>
    <x v="730"/>
    <x v="730"/>
    <s v="A Massive but Cheerful Online Digital Archive of Surfing"/>
    <n v="20000"/>
    <n v="26438"/>
    <x v="0"/>
    <x v="0"/>
    <x v="0"/>
    <n v="1323280391"/>
    <n v="1320688391"/>
    <b v="0"/>
    <x v="236"/>
    <b v="1"/>
    <x v="9"/>
    <x v="581"/>
    <n v="23219"/>
    <x v="3"/>
    <x v="9"/>
  </r>
  <r>
    <x v="731"/>
    <x v="731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x v="26"/>
    <b v="1"/>
    <x v="9"/>
    <x v="582"/>
    <n v="5650"/>
    <x v="3"/>
    <x v="9"/>
  </r>
  <r>
    <x v="732"/>
    <x v="732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x v="62"/>
    <b v="1"/>
    <x v="9"/>
    <x v="583"/>
    <n v="52"/>
    <x v="3"/>
    <x v="9"/>
  </r>
  <r>
    <x v="733"/>
    <x v="733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x v="39"/>
    <b v="1"/>
    <x v="9"/>
    <x v="584"/>
    <n v="2756"/>
    <x v="3"/>
    <x v="9"/>
  </r>
  <r>
    <x v="734"/>
    <x v="734"/>
    <s v="Sideswiped is my story of growing in and trusting God through the mess and mysteries of life."/>
    <n v="8500"/>
    <n v="10670"/>
    <x v="0"/>
    <x v="5"/>
    <x v="5"/>
    <n v="1431147600"/>
    <n v="1428465420"/>
    <b v="0"/>
    <x v="7"/>
    <b v="1"/>
    <x v="9"/>
    <x v="585"/>
    <n v="9585"/>
    <x v="3"/>
    <x v="9"/>
  </r>
  <r>
    <x v="735"/>
    <x v="735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x v="194"/>
    <b v="1"/>
    <x v="9"/>
    <x v="586"/>
    <n v="50385.5"/>
    <x v="3"/>
    <x v="9"/>
  </r>
  <r>
    <x v="736"/>
    <x v="736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x v="52"/>
    <b v="1"/>
    <x v="9"/>
    <x v="587"/>
    <n v="7472.5"/>
    <x v="3"/>
    <x v="9"/>
  </r>
  <r>
    <x v="737"/>
    <x v="737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x v="52"/>
    <b v="1"/>
    <x v="9"/>
    <x v="588"/>
    <n v="5560"/>
    <x v="3"/>
    <x v="9"/>
  </r>
  <r>
    <x v="738"/>
    <x v="738"/>
    <s v="The true story of a child's struggle with hunger, poverty, and war in El Salvador."/>
    <n v="1500"/>
    <n v="1601"/>
    <x v="0"/>
    <x v="0"/>
    <x v="0"/>
    <n v="1417409940"/>
    <n v="1414765794"/>
    <b v="0"/>
    <x v="14"/>
    <b v="1"/>
    <x v="9"/>
    <x v="589"/>
    <n v="1550.5"/>
    <x v="3"/>
    <x v="9"/>
  </r>
  <r>
    <x v="739"/>
    <x v="739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x v="237"/>
    <b v="1"/>
    <x v="9"/>
    <x v="590"/>
    <n v="7750"/>
    <x v="3"/>
    <x v="9"/>
  </r>
  <r>
    <x v="740"/>
    <x v="740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x v="10"/>
    <b v="1"/>
    <x v="9"/>
    <x v="202"/>
    <n v="3111"/>
    <x v="3"/>
    <x v="9"/>
  </r>
  <r>
    <x v="741"/>
    <x v="741"/>
    <s v="A revolutionary digital mapping project of the Vilna Ghetto"/>
    <n v="13000"/>
    <n v="13293.8"/>
    <x v="0"/>
    <x v="0"/>
    <x v="0"/>
    <n v="1370964806"/>
    <n v="1367940806"/>
    <b v="0"/>
    <x v="225"/>
    <b v="1"/>
    <x v="9"/>
    <x v="591"/>
    <n v="13146.9"/>
    <x v="3"/>
    <x v="9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x v="23"/>
    <b v="1"/>
    <x v="9"/>
    <x v="592"/>
    <n v="1475"/>
    <x v="3"/>
    <x v="9"/>
  </r>
  <r>
    <x v="743"/>
    <x v="743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x v="41"/>
    <b v="1"/>
    <x v="9"/>
    <x v="593"/>
    <n v="682"/>
    <x v="3"/>
    <x v="9"/>
  </r>
  <r>
    <x v="744"/>
    <x v="744"/>
    <s v="Join others to help create a world that is possible -- in your workplace, community and society!"/>
    <n v="5000"/>
    <n v="5116"/>
    <x v="0"/>
    <x v="0"/>
    <x v="0"/>
    <n v="1355439503"/>
    <n v="1352847503"/>
    <b v="0"/>
    <x v="95"/>
    <b v="1"/>
    <x v="9"/>
    <x v="594"/>
    <n v="5058"/>
    <x v="3"/>
    <x v="9"/>
  </r>
  <r>
    <x v="745"/>
    <x v="745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x v="142"/>
    <b v="1"/>
    <x v="9"/>
    <x v="595"/>
    <n v="3098"/>
    <x v="3"/>
    <x v="9"/>
  </r>
  <r>
    <x v="746"/>
    <x v="746"/>
    <s v="This is a book of letters. Letters to our body parts."/>
    <n v="2987"/>
    <n v="3318"/>
    <x v="0"/>
    <x v="0"/>
    <x v="0"/>
    <n v="1348372740"/>
    <n v="1346806909"/>
    <b v="0"/>
    <x v="174"/>
    <b v="1"/>
    <x v="9"/>
    <x v="596"/>
    <n v="3152.5"/>
    <x v="3"/>
    <x v="9"/>
  </r>
  <r>
    <x v="747"/>
    <x v="747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x v="165"/>
    <b v="1"/>
    <x v="9"/>
    <x v="597"/>
    <n v="7001.5"/>
    <x v="3"/>
    <x v="9"/>
  </r>
  <r>
    <x v="748"/>
    <x v="748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x v="34"/>
    <b v="1"/>
    <x v="9"/>
    <x v="598"/>
    <n v="2002.5"/>
    <x v="3"/>
    <x v="9"/>
  </r>
  <r>
    <x v="749"/>
    <x v="749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x v="238"/>
    <b v="1"/>
    <x v="9"/>
    <x v="599"/>
    <n v="10278"/>
    <x v="3"/>
    <x v="9"/>
  </r>
  <r>
    <x v="750"/>
    <x v="750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x v="211"/>
    <b v="1"/>
    <x v="9"/>
    <x v="600"/>
    <n v="4501.5"/>
    <x v="3"/>
    <x v="9"/>
  </r>
  <r>
    <x v="751"/>
    <x v="751"/>
    <s v="A young cancer survivor embarks on a cross country railroad adventure while writing her memoir through letters."/>
    <n v="3000"/>
    <n v="3555"/>
    <x v="0"/>
    <x v="0"/>
    <x v="0"/>
    <n v="1312470475"/>
    <n v="1308496075"/>
    <b v="0"/>
    <x v="95"/>
    <b v="1"/>
    <x v="9"/>
    <x v="23"/>
    <n v="3277.5"/>
    <x v="3"/>
    <x v="9"/>
  </r>
  <r>
    <x v="752"/>
    <x v="752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x v="217"/>
    <b v="1"/>
    <x v="9"/>
    <x v="601"/>
    <n v="5292.5"/>
    <x v="3"/>
    <x v="9"/>
  </r>
  <r>
    <x v="753"/>
    <x v="753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x v="55"/>
    <b v="1"/>
    <x v="9"/>
    <x v="602"/>
    <n v="11400"/>
    <x v="3"/>
    <x v="9"/>
  </r>
  <r>
    <x v="754"/>
    <x v="754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x v="72"/>
    <b v="1"/>
    <x v="9"/>
    <x v="603"/>
    <n v="2037.5"/>
    <x v="3"/>
    <x v="9"/>
  </r>
  <r>
    <x v="755"/>
    <x v="755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x v="32"/>
    <b v="1"/>
    <x v="9"/>
    <x v="604"/>
    <n v="2523.8450000000003"/>
    <x v="3"/>
    <x v="9"/>
  </r>
  <r>
    <x v="756"/>
    <x v="756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x v="19"/>
    <b v="1"/>
    <x v="9"/>
    <x v="605"/>
    <n v="762"/>
    <x v="3"/>
    <x v="9"/>
  </r>
  <r>
    <x v="757"/>
    <x v="757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x v="59"/>
    <b v="1"/>
    <x v="9"/>
    <x v="606"/>
    <n v="422.5"/>
    <x v="3"/>
    <x v="9"/>
  </r>
  <r>
    <x v="758"/>
    <x v="758"/>
    <s v="I am publishing my book, Waiting on Humanity and need some finishing funds to do so."/>
    <n v="2500"/>
    <n v="2550"/>
    <x v="0"/>
    <x v="0"/>
    <x v="0"/>
    <n v="1286568268"/>
    <n v="1283976268"/>
    <b v="0"/>
    <x v="10"/>
    <b v="1"/>
    <x v="9"/>
    <x v="607"/>
    <n v="2525"/>
    <x v="3"/>
    <x v="9"/>
  </r>
  <r>
    <x v="759"/>
    <x v="759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x v="221"/>
    <b v="1"/>
    <x v="9"/>
    <x v="608"/>
    <n v="5048"/>
    <x v="3"/>
    <x v="9"/>
  </r>
  <r>
    <x v="760"/>
    <x v="760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x v="78"/>
    <b v="0"/>
    <x v="10"/>
    <x v="109"/>
    <n v="1100"/>
    <x v="3"/>
    <x v="10"/>
  </r>
  <r>
    <x v="761"/>
    <x v="761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x v="79"/>
    <b v="0"/>
    <x v="10"/>
    <x v="609"/>
    <n v="2617.5"/>
    <x v="3"/>
    <x v="10"/>
  </r>
  <r>
    <x v="762"/>
    <x v="762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x v="78"/>
    <b v="0"/>
    <x v="10"/>
    <x v="109"/>
    <n v="1750"/>
    <x v="3"/>
    <x v="10"/>
  </r>
  <r>
    <x v="763"/>
    <x v="763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x v="29"/>
    <b v="0"/>
    <x v="10"/>
    <x v="610"/>
    <n v="2147.5"/>
    <x v="3"/>
    <x v="10"/>
  </r>
  <r>
    <x v="764"/>
    <x v="764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x v="78"/>
    <b v="0"/>
    <x v="10"/>
    <x v="109"/>
    <n v="2500"/>
    <x v="3"/>
    <x v="10"/>
  </r>
  <r>
    <x v="765"/>
    <x v="765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x v="34"/>
    <b v="0"/>
    <x v="10"/>
    <x v="611"/>
    <n v="4760.5"/>
    <x v="3"/>
    <x v="10"/>
  </r>
  <r>
    <x v="766"/>
    <x v="766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x v="78"/>
    <b v="0"/>
    <x v="10"/>
    <x v="109"/>
    <n v="2000"/>
    <x v="3"/>
    <x v="10"/>
  </r>
  <r>
    <x v="767"/>
    <x v="767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x v="83"/>
    <b v="0"/>
    <x v="10"/>
    <x v="612"/>
    <n v="2588.5"/>
    <x v="3"/>
    <x v="10"/>
  </r>
  <r>
    <x v="768"/>
    <x v="768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x v="78"/>
    <b v="0"/>
    <x v="10"/>
    <x v="109"/>
    <n v="1250"/>
    <x v="3"/>
    <x v="10"/>
  </r>
  <r>
    <x v="769"/>
    <x v="769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x v="47"/>
    <b v="0"/>
    <x v="10"/>
    <x v="613"/>
    <n v="2828"/>
    <x v="3"/>
    <x v="10"/>
  </r>
  <r>
    <x v="770"/>
    <x v="770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x v="78"/>
    <b v="0"/>
    <x v="10"/>
    <x v="109"/>
    <n v="8750"/>
    <x v="3"/>
    <x v="10"/>
  </r>
  <r>
    <x v="771"/>
    <x v="771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x v="29"/>
    <b v="0"/>
    <x v="10"/>
    <x v="614"/>
    <n v="19005"/>
    <x v="3"/>
    <x v="10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x v="29"/>
    <b v="0"/>
    <x v="10"/>
    <x v="422"/>
    <n v="775"/>
    <x v="3"/>
    <x v="10"/>
  </r>
  <r>
    <x v="773"/>
    <x v="773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x v="84"/>
    <b v="0"/>
    <x v="10"/>
    <x v="615"/>
    <n v="1895.5"/>
    <x v="3"/>
    <x v="10"/>
  </r>
  <r>
    <x v="774"/>
    <x v="774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x v="82"/>
    <b v="0"/>
    <x v="10"/>
    <x v="616"/>
    <n v="425.5"/>
    <x v="3"/>
    <x v="10"/>
  </r>
  <r>
    <x v="775"/>
    <x v="775"/>
    <s v="Scorned is the first in a series that I have been working on for two years and it's time to get it published."/>
    <n v="10000"/>
    <n v="170"/>
    <x v="2"/>
    <x v="0"/>
    <x v="0"/>
    <n v="1323998795"/>
    <n v="1321406795"/>
    <b v="0"/>
    <x v="81"/>
    <b v="0"/>
    <x v="10"/>
    <x v="617"/>
    <n v="5085"/>
    <x v="3"/>
    <x v="10"/>
  </r>
  <r>
    <x v="776"/>
    <x v="776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x v="7"/>
    <b v="0"/>
    <x v="10"/>
    <x v="618"/>
    <n v="5299"/>
    <x v="3"/>
    <x v="10"/>
  </r>
  <r>
    <x v="777"/>
    <x v="777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x v="83"/>
    <b v="0"/>
    <x v="10"/>
    <x v="449"/>
    <n v="1510.5"/>
    <x v="3"/>
    <x v="10"/>
  </r>
  <r>
    <x v="778"/>
    <x v="778"/>
    <s v="Laughter, tears and good times in the warm glow of Summer s Love. The perfect recipe for the winter blahs."/>
    <n v="500"/>
    <n v="2"/>
    <x v="2"/>
    <x v="0"/>
    <x v="0"/>
    <n v="1398876680"/>
    <n v="1396284680"/>
    <b v="0"/>
    <x v="29"/>
    <b v="0"/>
    <x v="10"/>
    <x v="177"/>
    <n v="251"/>
    <x v="3"/>
    <x v="10"/>
  </r>
  <r>
    <x v="779"/>
    <x v="779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x v="79"/>
    <b v="0"/>
    <x v="10"/>
    <x v="129"/>
    <n v="7700"/>
    <x v="3"/>
    <x v="10"/>
  </r>
  <r>
    <x v="780"/>
    <x v="780"/>
    <s v="We are finishing up recording our new record and we would like help with its physical CD release."/>
    <n v="1000"/>
    <n v="1040"/>
    <x v="0"/>
    <x v="0"/>
    <x v="0"/>
    <n v="1304439025"/>
    <n v="1301847025"/>
    <b v="0"/>
    <x v="74"/>
    <b v="1"/>
    <x v="11"/>
    <x v="87"/>
    <n v="1020"/>
    <x v="4"/>
    <x v="11"/>
  </r>
  <r>
    <x v="781"/>
    <x v="781"/>
    <s v="&quot;WE ARE ON A MISSION TO TOUR THE UNITED STATES NON-STOP. TO DO SO WE NEED TO PURCHASE A NEW VAN.&quot;"/>
    <n v="800"/>
    <n v="1065.23"/>
    <x v="0"/>
    <x v="0"/>
    <x v="0"/>
    <n v="1370649674"/>
    <n v="1368057674"/>
    <b v="0"/>
    <x v="20"/>
    <b v="1"/>
    <x v="11"/>
    <x v="619"/>
    <n v="932.61500000000001"/>
    <x v="4"/>
    <x v="11"/>
  </r>
  <r>
    <x v="782"/>
    <x v="782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x v="25"/>
    <b v="1"/>
    <x v="11"/>
    <x v="31"/>
    <n v="700"/>
    <x v="4"/>
    <x v="11"/>
  </r>
  <r>
    <x v="783"/>
    <x v="783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x v="2"/>
    <b v="1"/>
    <x v="11"/>
    <x v="620"/>
    <n v="1861"/>
    <x v="4"/>
    <x v="11"/>
  </r>
  <r>
    <x v="784"/>
    <x v="784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x v="73"/>
    <b v="1"/>
    <x v="11"/>
    <x v="78"/>
    <n v="1012.5"/>
    <x v="4"/>
    <x v="11"/>
  </r>
  <r>
    <x v="785"/>
    <x v="785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x v="60"/>
    <b v="1"/>
    <x v="11"/>
    <x v="621"/>
    <n v="701.56999999999994"/>
    <x v="4"/>
    <x v="11"/>
  </r>
  <r>
    <x v="786"/>
    <x v="786"/>
    <s v="In June, Columbus rock veterans, Watershed, will release and tour behind a new album, BRICK AND MORTAR."/>
    <n v="5000"/>
    <n v="7140"/>
    <x v="0"/>
    <x v="0"/>
    <x v="0"/>
    <n v="1336751220"/>
    <n v="1331774434"/>
    <b v="0"/>
    <x v="34"/>
    <b v="1"/>
    <x v="11"/>
    <x v="622"/>
    <n v="6070"/>
    <x v="4"/>
    <x v="11"/>
  </r>
  <r>
    <x v="787"/>
    <x v="787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x v="57"/>
    <b v="1"/>
    <x v="11"/>
    <x v="623"/>
    <n v="1285"/>
    <x v="4"/>
    <x v="11"/>
  </r>
  <r>
    <x v="788"/>
    <x v="788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x v="69"/>
    <b v="1"/>
    <x v="11"/>
    <x v="624"/>
    <n v="1517.5250000000001"/>
    <x v="4"/>
    <x v="11"/>
  </r>
  <r>
    <x v="789"/>
    <x v="789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x v="25"/>
    <b v="1"/>
    <x v="11"/>
    <x v="625"/>
    <n v="1780"/>
    <x v="4"/>
    <x v="11"/>
  </r>
  <r>
    <x v="790"/>
    <x v="790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x v="239"/>
    <b v="1"/>
    <x v="11"/>
    <x v="626"/>
    <n v="12218.73"/>
    <x v="4"/>
    <x v="11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x v="130"/>
    <b v="1"/>
    <x v="11"/>
    <x v="627"/>
    <n v="7645"/>
    <x v="4"/>
    <x v="11"/>
  </r>
  <r>
    <x v="792"/>
    <x v="792"/>
    <s v="Rock n' Roll about the intersection of lies and belief: the Believable Lie."/>
    <n v="2500"/>
    <n v="2511.11"/>
    <x v="0"/>
    <x v="0"/>
    <x v="0"/>
    <n v="1383861483"/>
    <n v="1381265883"/>
    <b v="0"/>
    <x v="65"/>
    <b v="1"/>
    <x v="11"/>
    <x v="628"/>
    <n v="2505.5550000000003"/>
    <x v="4"/>
    <x v="11"/>
  </r>
  <r>
    <x v="793"/>
    <x v="793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x v="58"/>
    <b v="1"/>
    <x v="11"/>
    <x v="629"/>
    <n v="2788.2150000000001"/>
    <x v="4"/>
    <x v="11"/>
  </r>
  <r>
    <x v="794"/>
    <x v="794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x v="28"/>
    <b v="1"/>
    <x v="11"/>
    <x v="630"/>
    <n v="8212.5"/>
    <x v="4"/>
    <x v="11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x v="192"/>
    <b v="1"/>
    <x v="11"/>
    <x v="631"/>
    <n v="14825"/>
    <x v="4"/>
    <x v="11"/>
  </r>
  <r>
    <x v="796"/>
    <x v="796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x v="240"/>
    <b v="1"/>
    <x v="11"/>
    <x v="40"/>
    <n v="10067.5"/>
    <x v="4"/>
    <x v="11"/>
  </r>
  <r>
    <x v="797"/>
    <x v="797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x v="26"/>
    <b v="1"/>
    <x v="11"/>
    <x v="632"/>
    <n v="3113"/>
    <x v="4"/>
    <x v="11"/>
  </r>
  <r>
    <x v="798"/>
    <x v="798"/>
    <s v="We have some great new songs and want to record a special edition 4 song EP as our next Eric Stuart Band release"/>
    <n v="3500"/>
    <n v="4021"/>
    <x v="0"/>
    <x v="0"/>
    <x v="0"/>
    <n v="1412086187"/>
    <n v="1409494187"/>
    <b v="0"/>
    <x v="45"/>
    <b v="1"/>
    <x v="11"/>
    <x v="633"/>
    <n v="3760.5"/>
    <x v="4"/>
    <x v="11"/>
  </r>
  <r>
    <x v="799"/>
    <x v="799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x v="33"/>
    <b v="1"/>
    <x v="11"/>
    <x v="634"/>
    <n v="5000.5"/>
    <x v="4"/>
    <x v="11"/>
  </r>
  <r>
    <x v="800"/>
    <x v="800"/>
    <s v="Scotland's premier classic rock and metal festival, 3 days, 3-4 stages, family friendly,  for people of all ages"/>
    <n v="1500"/>
    <n v="2282"/>
    <x v="0"/>
    <x v="1"/>
    <x v="1"/>
    <n v="1410431054"/>
    <n v="1407839054"/>
    <b v="0"/>
    <x v="66"/>
    <b v="1"/>
    <x v="11"/>
    <x v="635"/>
    <n v="1891"/>
    <x v="4"/>
    <x v="11"/>
  </r>
  <r>
    <x v="801"/>
    <x v="801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x v="13"/>
    <b v="1"/>
    <x v="11"/>
    <x v="636"/>
    <n v="2115.2150000000001"/>
    <x v="4"/>
    <x v="11"/>
  </r>
  <r>
    <x v="802"/>
    <x v="802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x v="11"/>
    <b v="1"/>
    <x v="11"/>
    <x v="303"/>
    <n v="6040"/>
    <x v="4"/>
    <x v="11"/>
  </r>
  <r>
    <x v="803"/>
    <x v="803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x v="44"/>
    <b v="1"/>
    <x v="11"/>
    <x v="637"/>
    <n v="2567.5"/>
    <x v="4"/>
    <x v="11"/>
  </r>
  <r>
    <x v="804"/>
    <x v="804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x v="59"/>
    <b v="1"/>
    <x v="11"/>
    <x v="31"/>
    <n v="5500"/>
    <x v="4"/>
    <x v="11"/>
  </r>
  <r>
    <x v="805"/>
    <x v="805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x v="241"/>
    <b v="1"/>
    <x v="11"/>
    <x v="2"/>
    <n v="3075"/>
    <x v="4"/>
    <x v="11"/>
  </r>
  <r>
    <x v="806"/>
    <x v="806"/>
    <s v="Help Golden Animals finish their NEW Album!"/>
    <n v="8000"/>
    <n v="8355"/>
    <x v="0"/>
    <x v="0"/>
    <x v="0"/>
    <n v="1315413339"/>
    <n v="1312821339"/>
    <b v="0"/>
    <x v="26"/>
    <b v="1"/>
    <x v="11"/>
    <x v="638"/>
    <n v="8177.5"/>
    <x v="4"/>
    <x v="11"/>
  </r>
  <r>
    <x v="807"/>
    <x v="807"/>
    <s v="Join the Sic Vita family and lend a hand as we create a new album!"/>
    <n v="4000"/>
    <n v="4205"/>
    <x v="0"/>
    <x v="0"/>
    <x v="0"/>
    <n v="1488333600"/>
    <n v="1485270311"/>
    <b v="0"/>
    <x v="7"/>
    <b v="1"/>
    <x v="11"/>
    <x v="639"/>
    <n v="4102.5"/>
    <x v="4"/>
    <x v="11"/>
  </r>
  <r>
    <x v="808"/>
    <x v="808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x v="68"/>
    <b v="1"/>
    <x v="11"/>
    <x v="31"/>
    <n v="4500"/>
    <x v="4"/>
    <x v="11"/>
  </r>
  <r>
    <x v="809"/>
    <x v="809"/>
    <s v="Acknowledged songwriter looking to record album of new songs to secure a Publishing Contract"/>
    <n v="4000"/>
    <n v="4151"/>
    <x v="0"/>
    <x v="0"/>
    <x v="0"/>
    <n v="1390161630"/>
    <n v="1387569630"/>
    <b v="0"/>
    <x v="47"/>
    <b v="1"/>
    <x v="11"/>
    <x v="640"/>
    <n v="4075.5"/>
    <x v="4"/>
    <x v="11"/>
  </r>
  <r>
    <x v="810"/>
    <x v="810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x v="74"/>
    <b v="1"/>
    <x v="11"/>
    <x v="2"/>
    <n v="1537.5"/>
    <x v="4"/>
    <x v="11"/>
  </r>
  <r>
    <x v="811"/>
    <x v="811"/>
    <s v="We need your financial support to cover the tour costs!  (Sound, lights, travel, stage design)"/>
    <n v="1000"/>
    <n v="1040"/>
    <x v="0"/>
    <x v="0"/>
    <x v="0"/>
    <n v="1373475120"/>
    <n v="1371569202"/>
    <b v="0"/>
    <x v="8"/>
    <b v="1"/>
    <x v="11"/>
    <x v="87"/>
    <n v="1020"/>
    <x v="4"/>
    <x v="11"/>
  </r>
  <r>
    <x v="812"/>
    <x v="812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x v="51"/>
    <b v="1"/>
    <x v="11"/>
    <x v="641"/>
    <n v="755.5"/>
    <x v="4"/>
    <x v="11"/>
  </r>
  <r>
    <x v="813"/>
    <x v="813"/>
    <s v="A pre order campaign to fund the pressing of our second full length vinyl LP"/>
    <n v="1500"/>
    <n v="2399.94"/>
    <x v="0"/>
    <x v="0"/>
    <x v="0"/>
    <n v="1342825365"/>
    <n v="1340233365"/>
    <b v="0"/>
    <x v="93"/>
    <b v="1"/>
    <x v="11"/>
    <x v="642"/>
    <n v="1949.97"/>
    <x v="4"/>
    <x v="11"/>
  </r>
  <r>
    <x v="814"/>
    <x v="814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x v="33"/>
    <b v="1"/>
    <x v="11"/>
    <x v="643"/>
    <n v="1136.5"/>
    <x v="4"/>
    <x v="11"/>
  </r>
  <r>
    <x v="815"/>
    <x v="815"/>
    <s v="Be a part of helping The Early Reset finish their new 7 song EP."/>
    <n v="4000"/>
    <n v="4280"/>
    <x v="0"/>
    <x v="0"/>
    <x v="0"/>
    <n v="1414879303"/>
    <n v="1412287303"/>
    <b v="0"/>
    <x v="68"/>
    <b v="1"/>
    <x v="11"/>
    <x v="644"/>
    <n v="4140"/>
    <x v="4"/>
    <x v="11"/>
  </r>
  <r>
    <x v="816"/>
    <x v="816"/>
    <s v="Friends and Family have an album for you. They need your help to release it to the world."/>
    <n v="7000"/>
    <n v="8058.55"/>
    <x v="0"/>
    <x v="0"/>
    <x v="0"/>
    <n v="1365489000"/>
    <n v="1362776043"/>
    <b v="0"/>
    <x v="242"/>
    <b v="1"/>
    <x v="11"/>
    <x v="645"/>
    <n v="7529.2749999999996"/>
    <x v="4"/>
    <x v="11"/>
  </r>
  <r>
    <x v="817"/>
    <x v="817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x v="23"/>
    <b v="1"/>
    <x v="11"/>
    <x v="646"/>
    <n v="1778.33"/>
    <x v="4"/>
    <x v="11"/>
  </r>
  <r>
    <x v="818"/>
    <x v="818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x v="10"/>
    <b v="1"/>
    <x v="11"/>
    <x v="647"/>
    <n v="447.5"/>
    <x v="4"/>
    <x v="11"/>
  </r>
  <r>
    <x v="819"/>
    <x v="819"/>
    <s v="We are touring the Southeast in support of our new EP"/>
    <n v="400"/>
    <n v="435"/>
    <x v="0"/>
    <x v="0"/>
    <x v="0"/>
    <n v="1387601040"/>
    <n v="1386806254"/>
    <b v="0"/>
    <x v="25"/>
    <b v="1"/>
    <x v="11"/>
    <x v="648"/>
    <n v="417.5"/>
    <x v="4"/>
    <x v="11"/>
  </r>
  <r>
    <x v="820"/>
    <x v="820"/>
    <s v="Wyatt Lowe &amp; the Ottomatics will be hitting the road this June on a North and Southwest Summer 2014 tour!"/>
    <n v="2000"/>
    <n v="2681"/>
    <x v="0"/>
    <x v="0"/>
    <x v="0"/>
    <n v="1402290000"/>
    <n v="1399666342"/>
    <b v="0"/>
    <x v="44"/>
    <b v="1"/>
    <x v="11"/>
    <x v="649"/>
    <n v="2340.5"/>
    <x v="4"/>
    <x v="11"/>
  </r>
  <r>
    <x v="821"/>
    <x v="821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x v="76"/>
    <b v="1"/>
    <x v="11"/>
    <x v="31"/>
    <n v="17482"/>
    <x v="4"/>
    <x v="11"/>
  </r>
  <r>
    <x v="822"/>
    <x v="822"/>
    <s v="Soul Easy recording our first full length CD.  Inspired by lots of friends and lots of good times."/>
    <n v="3000"/>
    <n v="3575"/>
    <x v="0"/>
    <x v="0"/>
    <x v="0"/>
    <n v="1349477050"/>
    <n v="1346885050"/>
    <b v="0"/>
    <x v="50"/>
    <b v="1"/>
    <x v="11"/>
    <x v="650"/>
    <n v="3287.5"/>
    <x v="4"/>
    <x v="11"/>
  </r>
  <r>
    <x v="823"/>
    <x v="823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x v="51"/>
    <b v="1"/>
    <x v="11"/>
    <x v="651"/>
    <n v="1118"/>
    <x v="4"/>
    <x v="11"/>
  </r>
  <r>
    <x v="824"/>
    <x v="824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x v="241"/>
    <b v="1"/>
    <x v="11"/>
    <x v="652"/>
    <n v="1875.05"/>
    <x v="4"/>
    <x v="11"/>
  </r>
  <r>
    <x v="825"/>
    <x v="825"/>
    <s v="Kickstarting Kill Freeman independently. Help fund the New Record, Video and Live Shows."/>
    <n v="12500"/>
    <n v="12554"/>
    <x v="0"/>
    <x v="0"/>
    <x v="0"/>
    <n v="1351495284"/>
    <n v="1349335284"/>
    <b v="0"/>
    <x v="221"/>
    <b v="1"/>
    <x v="11"/>
    <x v="653"/>
    <n v="12527"/>
    <x v="4"/>
    <x v="11"/>
  </r>
  <r>
    <x v="826"/>
    <x v="826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x v="72"/>
    <b v="1"/>
    <x v="11"/>
    <x v="654"/>
    <n v="5540"/>
    <x v="4"/>
    <x v="11"/>
  </r>
  <r>
    <x v="827"/>
    <x v="827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x v="202"/>
    <b v="1"/>
    <x v="11"/>
    <x v="101"/>
    <n v="305"/>
    <x v="4"/>
    <x v="11"/>
  </r>
  <r>
    <x v="828"/>
    <x v="828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x v="44"/>
    <b v="1"/>
    <x v="11"/>
    <x v="644"/>
    <n v="1345.5"/>
    <x v="4"/>
    <x v="11"/>
  </r>
  <r>
    <x v="829"/>
    <x v="829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x v="38"/>
    <b v="1"/>
    <x v="11"/>
    <x v="87"/>
    <n v="510"/>
    <x v="4"/>
    <x v="11"/>
  </r>
  <r>
    <x v="830"/>
    <x v="830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x v="58"/>
    <b v="1"/>
    <x v="11"/>
    <x v="655"/>
    <n v="1870.5"/>
    <x v="4"/>
    <x v="11"/>
  </r>
  <r>
    <x v="831"/>
    <x v="831"/>
    <s v="7Horse is a new band with a self-funded album and a show they want to rock in your town!"/>
    <n v="1500"/>
    <n v="3500"/>
    <x v="0"/>
    <x v="0"/>
    <x v="0"/>
    <n v="1335540694"/>
    <n v="1332948694"/>
    <b v="0"/>
    <x v="9"/>
    <b v="1"/>
    <x v="11"/>
    <x v="656"/>
    <n v="2500"/>
    <x v="4"/>
    <x v="11"/>
  </r>
  <r>
    <x v="832"/>
    <x v="832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x v="243"/>
    <b v="1"/>
    <x v="11"/>
    <x v="657"/>
    <n v="15045.529999999999"/>
    <x v="4"/>
    <x v="11"/>
  </r>
  <r>
    <x v="833"/>
    <x v="833"/>
    <s v="This is an American rock album."/>
    <n v="6000"/>
    <n v="6100"/>
    <x v="0"/>
    <x v="0"/>
    <x v="0"/>
    <n v="1397941475"/>
    <n v="1395349475"/>
    <b v="0"/>
    <x v="14"/>
    <b v="1"/>
    <x v="11"/>
    <x v="658"/>
    <n v="6050"/>
    <x v="4"/>
    <x v="11"/>
  </r>
  <r>
    <x v="834"/>
    <x v="834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x v="11"/>
    <b v="1"/>
    <x v="11"/>
    <x v="659"/>
    <n v="6353"/>
    <x v="4"/>
    <x v="11"/>
  </r>
  <r>
    <x v="835"/>
    <x v="835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x v="244"/>
    <b v="1"/>
    <x v="11"/>
    <x v="660"/>
    <n v="2172.5"/>
    <x v="4"/>
    <x v="11"/>
  </r>
  <r>
    <x v="836"/>
    <x v="836"/>
    <s v="An album you can bring home to mom."/>
    <n v="5000"/>
    <n v="5046.5200000000004"/>
    <x v="0"/>
    <x v="0"/>
    <x v="0"/>
    <n v="1381108918"/>
    <n v="1378516918"/>
    <b v="0"/>
    <x v="67"/>
    <b v="1"/>
    <x v="11"/>
    <x v="661"/>
    <n v="5023.26"/>
    <x v="4"/>
    <x v="11"/>
  </r>
  <r>
    <x v="837"/>
    <x v="837"/>
    <s v="Take 147 is currently in the process of recording the debut album called, &quot;Nothin' to Lose&quot;."/>
    <n v="2500"/>
    <n v="3045"/>
    <x v="0"/>
    <x v="0"/>
    <x v="0"/>
    <n v="1398988662"/>
    <n v="1396396662"/>
    <b v="0"/>
    <x v="95"/>
    <b v="1"/>
    <x v="11"/>
    <x v="662"/>
    <n v="2772.5"/>
    <x v="4"/>
    <x v="11"/>
  </r>
  <r>
    <x v="838"/>
    <x v="838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x v="42"/>
    <b v="1"/>
    <x v="11"/>
    <x v="663"/>
    <n v="2454"/>
    <x v="4"/>
    <x v="11"/>
  </r>
  <r>
    <x v="839"/>
    <x v="839"/>
    <s v="The Waffle Stompers need your support to keep doing what we love--go on tour, make music and music videos."/>
    <n v="5000"/>
    <n v="5830.83"/>
    <x v="0"/>
    <x v="0"/>
    <x v="0"/>
    <n v="1348337956"/>
    <n v="1345745956"/>
    <b v="0"/>
    <x v="93"/>
    <b v="1"/>
    <x v="11"/>
    <x v="664"/>
    <n v="5415.415"/>
    <x v="4"/>
    <x v="11"/>
  </r>
  <r>
    <x v="840"/>
    <x v="840"/>
    <s v="Carl King / Sir Millard Mulch / Dr. Zoltan Ã˜belisk is making a new 45-minute instrumental sci-fi album!"/>
    <n v="10000"/>
    <n v="12041.66"/>
    <x v="0"/>
    <x v="0"/>
    <x v="0"/>
    <n v="1474694787"/>
    <n v="1472102787"/>
    <b v="0"/>
    <x v="245"/>
    <b v="1"/>
    <x v="12"/>
    <x v="665"/>
    <n v="11020.83"/>
    <x v="4"/>
    <x v="12"/>
  </r>
  <r>
    <x v="841"/>
    <x v="841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x v="225"/>
    <b v="1"/>
    <x v="12"/>
    <x v="666"/>
    <n v="5033"/>
    <x v="4"/>
    <x v="12"/>
  </r>
  <r>
    <x v="842"/>
    <x v="842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x v="70"/>
    <b v="1"/>
    <x v="12"/>
    <x v="667"/>
    <n v="2554"/>
    <x v="4"/>
    <x v="12"/>
  </r>
  <r>
    <x v="843"/>
    <x v="843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x v="246"/>
    <b v="1"/>
    <x v="12"/>
    <x v="668"/>
    <n v="5507"/>
    <x v="4"/>
    <x v="12"/>
  </r>
  <r>
    <x v="844"/>
    <x v="844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x v="180"/>
    <b v="1"/>
    <x v="12"/>
    <x v="669"/>
    <n v="4412"/>
    <x v="4"/>
    <x v="12"/>
  </r>
  <r>
    <x v="845"/>
    <x v="845"/>
    <s v="Help Legend of Zelda tribute band Master Sword complete their latest heavy metal album: Shadow and Steel!"/>
    <n v="5000"/>
    <n v="6019.01"/>
    <x v="0"/>
    <x v="0"/>
    <x v="0"/>
    <n v="1473047940"/>
    <n v="1469595396"/>
    <b v="0"/>
    <x v="247"/>
    <b v="1"/>
    <x v="12"/>
    <x v="670"/>
    <n v="5509.5050000000001"/>
    <x v="4"/>
    <x v="12"/>
  </r>
  <r>
    <x v="846"/>
    <x v="846"/>
    <s v="Pre-order and help me fund new merchandise so we can make the album release something amazing."/>
    <n v="1100"/>
    <n v="1342.01"/>
    <x v="0"/>
    <x v="1"/>
    <x v="1"/>
    <n v="1394460000"/>
    <n v="1393233855"/>
    <b v="0"/>
    <x v="5"/>
    <b v="1"/>
    <x v="12"/>
    <x v="671"/>
    <n v="1221.0050000000001"/>
    <x v="4"/>
    <x v="12"/>
  </r>
  <r>
    <x v="847"/>
    <x v="847"/>
    <s v="MUSIC WITH MEANING!  MUSIC THAT MATTERS!!!"/>
    <n v="10"/>
    <n v="10"/>
    <x v="0"/>
    <x v="0"/>
    <x v="0"/>
    <n v="1436555376"/>
    <n v="1433963376"/>
    <b v="0"/>
    <x v="29"/>
    <b v="1"/>
    <x v="12"/>
    <x v="31"/>
    <n v="10"/>
    <x v="4"/>
    <x v="12"/>
  </r>
  <r>
    <x v="848"/>
    <x v="848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x v="38"/>
    <b v="1"/>
    <x v="12"/>
    <x v="31"/>
    <n v="300"/>
    <x v="4"/>
    <x v="12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x v="248"/>
    <b v="1"/>
    <x v="12"/>
    <x v="672"/>
    <n v="4398"/>
    <x v="4"/>
    <x v="12"/>
  </r>
  <r>
    <x v="850"/>
    <x v="850"/>
    <s v="Help Chicago-based instrumental group Sioum complete the production of their 2nd full-length album."/>
    <n v="4000"/>
    <n v="6207"/>
    <x v="0"/>
    <x v="0"/>
    <x v="0"/>
    <n v="1461560340"/>
    <n v="1458762717"/>
    <b v="0"/>
    <x v="182"/>
    <b v="1"/>
    <x v="12"/>
    <x v="673"/>
    <n v="5103.5"/>
    <x v="4"/>
    <x v="12"/>
  </r>
  <r>
    <x v="851"/>
    <x v="851"/>
    <s v="Salut, nous c'est M.F.Crew, on a besoin de vous pour produire notre premier album &quot;First Ride&quot; ! :)"/>
    <n v="2000"/>
    <n v="2609"/>
    <x v="0"/>
    <x v="6"/>
    <x v="3"/>
    <n v="1469994300"/>
    <n v="1464815253"/>
    <b v="0"/>
    <x v="16"/>
    <b v="1"/>
    <x v="12"/>
    <x v="674"/>
    <n v="2304.5"/>
    <x v="4"/>
    <x v="12"/>
  </r>
  <r>
    <x v="852"/>
    <x v="852"/>
    <s v="Limited edition 2x12&quot; vinyl pressing of our latest album &quot;Who Do You Think We Are?&quot;"/>
    <n v="3500"/>
    <n v="3674"/>
    <x v="0"/>
    <x v="0"/>
    <x v="0"/>
    <n v="1477342800"/>
    <n v="1476386395"/>
    <b v="0"/>
    <x v="95"/>
    <b v="1"/>
    <x v="12"/>
    <x v="675"/>
    <n v="3587"/>
    <x v="4"/>
    <x v="12"/>
  </r>
  <r>
    <x v="853"/>
    <x v="853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x v="73"/>
    <b v="1"/>
    <x v="12"/>
    <x v="31"/>
    <n v="300"/>
    <x v="4"/>
    <x v="12"/>
  </r>
  <r>
    <x v="854"/>
    <x v="854"/>
    <s v="Writing and Recording Sophomore record, and funding Tour to support Spring 2017 album release."/>
    <n v="27800"/>
    <n v="32865.300000000003"/>
    <x v="0"/>
    <x v="0"/>
    <x v="0"/>
    <n v="1482901546"/>
    <n v="1480309546"/>
    <b v="0"/>
    <x v="249"/>
    <b v="1"/>
    <x v="12"/>
    <x v="676"/>
    <n v="30332.65"/>
    <x v="4"/>
    <x v="12"/>
  </r>
  <r>
    <x v="855"/>
    <x v="855"/>
    <s v="AtteroTerra's &quot;Pray for Apocalypse&quot; is fully completed, and only being held up by funding."/>
    <n v="1450"/>
    <n v="1500"/>
    <x v="0"/>
    <x v="0"/>
    <x v="0"/>
    <n v="1469329217"/>
    <n v="1466737217"/>
    <b v="0"/>
    <x v="5"/>
    <b v="1"/>
    <x v="12"/>
    <x v="677"/>
    <n v="1475"/>
    <x v="4"/>
    <x v="12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x v="33"/>
    <b v="1"/>
    <x v="12"/>
    <x v="678"/>
    <n v="397.5"/>
    <x v="4"/>
    <x v="12"/>
  </r>
  <r>
    <x v="857"/>
    <x v="857"/>
    <s v="Modern Post-Hardcore/Electro music (Hardstyle, EDM, Trap, Dubstep, Dembow, House)."/>
    <n v="1200"/>
    <n v="1200"/>
    <x v="0"/>
    <x v="3"/>
    <x v="3"/>
    <n v="1448463431"/>
    <n v="1444831031"/>
    <b v="0"/>
    <x v="54"/>
    <b v="1"/>
    <x v="12"/>
    <x v="31"/>
    <n v="1200"/>
    <x v="4"/>
    <x v="12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x v="88"/>
    <b v="1"/>
    <x v="12"/>
    <x v="679"/>
    <n v="1464.0349999999999"/>
    <x v="4"/>
    <x v="12"/>
  </r>
  <r>
    <x v="859"/>
    <x v="859"/>
    <s v="We are heading to the studio to create our second album and we want you to be right there with us!"/>
    <n v="4000"/>
    <n v="4187"/>
    <x v="0"/>
    <x v="0"/>
    <x v="0"/>
    <n v="1433376000"/>
    <n v="1430768468"/>
    <b v="0"/>
    <x v="15"/>
    <b v="1"/>
    <x v="12"/>
    <x v="680"/>
    <n v="4093.5"/>
    <x v="4"/>
    <x v="12"/>
  </r>
  <r>
    <x v="860"/>
    <x v="860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x v="53"/>
    <b v="0"/>
    <x v="13"/>
    <x v="681"/>
    <n v="8270"/>
    <x v="4"/>
    <x v="13"/>
  </r>
  <r>
    <x v="861"/>
    <x v="861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x v="84"/>
    <b v="0"/>
    <x v="13"/>
    <x v="682"/>
    <n v="2300.5"/>
    <x v="4"/>
    <x v="13"/>
  </r>
  <r>
    <x v="862"/>
    <x v="862"/>
    <s v="I want to work with the great John Goodsall and Percy Jones from Brand X to create the ultimate new jazz album."/>
    <n v="50000"/>
    <n v="170"/>
    <x v="2"/>
    <x v="1"/>
    <x v="1"/>
    <n v="1384179548"/>
    <n v="1381583948"/>
    <b v="0"/>
    <x v="80"/>
    <b v="0"/>
    <x v="13"/>
    <x v="683"/>
    <n v="25085"/>
    <x v="4"/>
    <x v="13"/>
  </r>
  <r>
    <x v="863"/>
    <x v="863"/>
    <s v="I'm making the move from a side man in local groups to the leader with this debut jazz CD project."/>
    <n v="2000"/>
    <n v="90"/>
    <x v="2"/>
    <x v="0"/>
    <x v="0"/>
    <n v="1329014966"/>
    <n v="1326422966"/>
    <b v="0"/>
    <x v="81"/>
    <b v="0"/>
    <x v="13"/>
    <x v="684"/>
    <n v="1045"/>
    <x v="4"/>
    <x v="13"/>
  </r>
  <r>
    <x v="864"/>
    <x v="864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x v="1"/>
    <b v="0"/>
    <x v="13"/>
    <x v="685"/>
    <n v="4600"/>
    <x v="4"/>
    <x v="13"/>
  </r>
  <r>
    <x v="865"/>
    <x v="865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x v="84"/>
    <b v="0"/>
    <x v="13"/>
    <x v="686"/>
    <n v="1122.5"/>
    <x v="4"/>
    <x v="13"/>
  </r>
  <r>
    <x v="866"/>
    <x v="866"/>
    <s v="Drivetime heads to Cali for summer tour supported by @Smoothjazz.com &amp; @JJZPhilly  #Spaghettini #The Roxy"/>
    <n v="3500"/>
    <n v="640"/>
    <x v="2"/>
    <x v="0"/>
    <x v="0"/>
    <n v="1425136200"/>
    <n v="1421853518"/>
    <b v="0"/>
    <x v="202"/>
    <b v="0"/>
    <x v="13"/>
    <x v="687"/>
    <n v="2070"/>
    <x v="4"/>
    <x v="13"/>
  </r>
  <r>
    <x v="867"/>
    <x v="867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x v="202"/>
    <b v="0"/>
    <x v="13"/>
    <x v="688"/>
    <n v="3100.5"/>
    <x v="4"/>
    <x v="13"/>
  </r>
  <r>
    <x v="868"/>
    <x v="868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x v="29"/>
    <b v="0"/>
    <x v="13"/>
    <x v="689"/>
    <n v="22525"/>
    <x v="4"/>
    <x v="13"/>
  </r>
  <r>
    <x v="869"/>
    <x v="869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x v="83"/>
    <b v="0"/>
    <x v="13"/>
    <x v="690"/>
    <n v="4920"/>
    <x v="4"/>
    <x v="13"/>
  </r>
  <r>
    <x v="870"/>
    <x v="870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x v="81"/>
    <b v="0"/>
    <x v="13"/>
    <x v="691"/>
    <n v="10031"/>
    <x v="4"/>
    <x v="13"/>
  </r>
  <r>
    <x v="871"/>
    <x v="871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x v="8"/>
    <b v="0"/>
    <x v="13"/>
    <x v="692"/>
    <n v="3162.5"/>
    <x v="4"/>
    <x v="13"/>
  </r>
  <r>
    <x v="872"/>
    <x v="872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x v="84"/>
    <b v="0"/>
    <x v="13"/>
    <x v="693"/>
    <n v="4032.5"/>
    <x v="4"/>
    <x v="13"/>
  </r>
  <r>
    <x v="873"/>
    <x v="873"/>
    <s v="Fall in love with &quot;The Dreamer&quot;, new original music from trumpeter Freddie Dunn!"/>
    <n v="3500"/>
    <n v="45"/>
    <x v="2"/>
    <x v="0"/>
    <x v="0"/>
    <n v="1352610040"/>
    <n v="1349150440"/>
    <b v="0"/>
    <x v="81"/>
    <b v="0"/>
    <x v="13"/>
    <x v="694"/>
    <n v="1772.5"/>
    <x v="4"/>
    <x v="13"/>
  </r>
  <r>
    <x v="874"/>
    <x v="874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x v="64"/>
    <b v="0"/>
    <x v="13"/>
    <x v="695"/>
    <n v="1865"/>
    <x v="4"/>
    <x v="13"/>
  </r>
  <r>
    <x v="875"/>
    <x v="875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x v="78"/>
    <b v="0"/>
    <x v="13"/>
    <x v="109"/>
    <n v="2500"/>
    <x v="4"/>
    <x v="13"/>
  </r>
  <r>
    <x v="876"/>
    <x v="876"/>
    <s v="What was the greatest record shop ever?  DOBELLS!"/>
    <n v="3152"/>
    <n v="1286"/>
    <x v="2"/>
    <x v="1"/>
    <x v="1"/>
    <n v="1359978927"/>
    <n v="1357127727"/>
    <b v="0"/>
    <x v="43"/>
    <b v="0"/>
    <x v="13"/>
    <x v="696"/>
    <n v="2219"/>
    <x v="4"/>
    <x v="13"/>
  </r>
  <r>
    <x v="877"/>
    <x v="877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x v="60"/>
    <b v="0"/>
    <x v="13"/>
    <x v="697"/>
    <n v="1675.5"/>
    <x v="4"/>
    <x v="13"/>
  </r>
  <r>
    <x v="878"/>
    <x v="878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x v="84"/>
    <b v="0"/>
    <x v="13"/>
    <x v="698"/>
    <n v="2532.5"/>
    <x v="4"/>
    <x v="13"/>
  </r>
  <r>
    <x v="879"/>
    <x v="879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x v="209"/>
    <b v="0"/>
    <x v="13"/>
    <x v="699"/>
    <n v="1372"/>
    <x v="4"/>
    <x v="13"/>
  </r>
  <r>
    <x v="880"/>
    <x v="880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x v="22"/>
    <b v="0"/>
    <x v="14"/>
    <x v="700"/>
    <n v="1946.5"/>
    <x v="4"/>
    <x v="14"/>
  </r>
  <r>
    <x v="881"/>
    <x v="881"/>
    <s v="To raise funds to finish the latest album by Chris Reed and the Anime Raiders, called &quot;Deep City Diving&quot;"/>
    <n v="3750"/>
    <n v="30"/>
    <x v="2"/>
    <x v="0"/>
    <x v="0"/>
    <n v="1326520886"/>
    <n v="1322632886"/>
    <b v="0"/>
    <x v="29"/>
    <b v="0"/>
    <x v="14"/>
    <x v="417"/>
    <n v="1890"/>
    <x v="4"/>
    <x v="14"/>
  </r>
  <r>
    <x v="882"/>
    <x v="882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x v="25"/>
    <b v="0"/>
    <x v="14"/>
    <x v="701"/>
    <n v="901"/>
    <x v="4"/>
    <x v="14"/>
  </r>
  <r>
    <x v="883"/>
    <x v="883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x v="54"/>
    <b v="0"/>
    <x v="14"/>
    <x v="702"/>
    <n v="3500.5"/>
    <x v="4"/>
    <x v="14"/>
  </r>
  <r>
    <x v="884"/>
    <x v="884"/>
    <s v="We need to hire an animal trainer to have a chimpanzee actor perform in our music video with us!"/>
    <n v="2000"/>
    <n v="20"/>
    <x v="2"/>
    <x v="0"/>
    <x v="0"/>
    <n v="1336789860"/>
    <n v="1331666146"/>
    <b v="0"/>
    <x v="84"/>
    <b v="0"/>
    <x v="14"/>
    <x v="460"/>
    <n v="1010"/>
    <x v="4"/>
    <x v="14"/>
  </r>
  <r>
    <x v="885"/>
    <x v="885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x v="64"/>
    <b v="0"/>
    <x v="14"/>
    <x v="703"/>
    <n v="875"/>
    <x v="4"/>
    <x v="14"/>
  </r>
  <r>
    <x v="886"/>
    <x v="886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x v="63"/>
    <b v="0"/>
    <x v="14"/>
    <x v="704"/>
    <n v="352.5"/>
    <x v="4"/>
    <x v="14"/>
  </r>
  <r>
    <x v="887"/>
    <x v="887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x v="78"/>
    <b v="0"/>
    <x v="14"/>
    <x v="109"/>
    <n v="500"/>
    <x v="4"/>
    <x v="14"/>
  </r>
  <r>
    <x v="888"/>
    <x v="888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x v="80"/>
    <b v="0"/>
    <x v="14"/>
    <x v="705"/>
    <n v="536"/>
    <x v="4"/>
    <x v="14"/>
  </r>
  <r>
    <x v="889"/>
    <x v="889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x v="58"/>
    <b v="0"/>
    <x v="14"/>
    <x v="706"/>
    <n v="13680.16"/>
    <x v="4"/>
    <x v="14"/>
  </r>
  <r>
    <x v="890"/>
    <x v="890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x v="80"/>
    <b v="0"/>
    <x v="14"/>
    <x v="707"/>
    <n v="1562.5"/>
    <x v="4"/>
    <x v="14"/>
  </r>
  <r>
    <x v="891"/>
    <x v="891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x v="82"/>
    <b v="0"/>
    <x v="14"/>
    <x v="140"/>
    <n v="4130"/>
    <x v="4"/>
    <x v="14"/>
  </r>
  <r>
    <x v="892"/>
    <x v="892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x v="57"/>
    <b v="0"/>
    <x v="14"/>
    <x v="708"/>
    <n v="4222.5"/>
    <x v="4"/>
    <x v="14"/>
  </r>
  <r>
    <x v="893"/>
    <x v="893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x v="81"/>
    <b v="0"/>
    <x v="14"/>
    <x v="709"/>
    <n v="1100"/>
    <x v="4"/>
    <x v="14"/>
  </r>
  <r>
    <x v="894"/>
    <x v="894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x v="28"/>
    <b v="0"/>
    <x v="14"/>
    <x v="710"/>
    <n v="13917"/>
    <x v="4"/>
    <x v="14"/>
  </r>
  <r>
    <x v="895"/>
    <x v="895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x v="63"/>
    <b v="0"/>
    <x v="14"/>
    <x v="711"/>
    <n v="4097.5"/>
    <x v="4"/>
    <x v="14"/>
  </r>
  <r>
    <x v="896"/>
    <x v="896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x v="250"/>
    <b v="0"/>
    <x v="14"/>
    <x v="142"/>
    <n v="5600"/>
    <x v="4"/>
    <x v="14"/>
  </r>
  <r>
    <x v="897"/>
    <x v="897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x v="78"/>
    <b v="0"/>
    <x v="14"/>
    <x v="109"/>
    <n v="1500"/>
    <x v="4"/>
    <x v="14"/>
  </r>
  <r>
    <x v="898"/>
    <x v="898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x v="84"/>
    <b v="0"/>
    <x v="14"/>
    <x v="712"/>
    <n v="1285"/>
    <x v="4"/>
    <x v="14"/>
  </r>
  <r>
    <x v="899"/>
    <x v="899"/>
    <s v="Lets get 48/14 pressed and in your cd players,ipods,blogs, and facebook status'. Lets get it everywhere!"/>
    <n v="750"/>
    <n v="280"/>
    <x v="2"/>
    <x v="0"/>
    <x v="0"/>
    <n v="1306549362"/>
    <n v="1302661362"/>
    <b v="0"/>
    <x v="22"/>
    <b v="0"/>
    <x v="14"/>
    <x v="713"/>
    <n v="515"/>
    <x v="4"/>
    <x v="14"/>
  </r>
  <r>
    <x v="900"/>
    <x v="900"/>
    <s v="With Project Revive, I aim to protect and nurture the creative impulse through music."/>
    <n v="5000"/>
    <n v="21"/>
    <x v="2"/>
    <x v="0"/>
    <x v="0"/>
    <n v="1459365802"/>
    <n v="1456777402"/>
    <b v="0"/>
    <x v="84"/>
    <b v="0"/>
    <x v="13"/>
    <x v="714"/>
    <n v="2510.5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x v="78"/>
    <b v="0"/>
    <x v="13"/>
    <x v="109"/>
    <n v="3250"/>
    <x v="4"/>
    <x v="13"/>
  </r>
  <r>
    <x v="902"/>
    <x v="902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x v="83"/>
    <b v="0"/>
    <x v="13"/>
    <x v="715"/>
    <n v="15045"/>
    <x v="4"/>
    <x v="13"/>
  </r>
  <r>
    <x v="903"/>
    <x v="903"/>
    <s v="The U City Jazz Festival is offered for free to the community and features the best jazz talent from the midwest."/>
    <n v="5000"/>
    <n v="160"/>
    <x v="2"/>
    <x v="0"/>
    <x v="0"/>
    <n v="1348367100"/>
    <n v="1346180780"/>
    <b v="0"/>
    <x v="80"/>
    <b v="0"/>
    <x v="13"/>
    <x v="416"/>
    <n v="2580"/>
    <x v="4"/>
    <x v="13"/>
  </r>
  <r>
    <x v="904"/>
    <x v="904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x v="83"/>
    <b v="0"/>
    <x v="13"/>
    <x v="716"/>
    <n v="25075.5"/>
    <x v="4"/>
    <x v="13"/>
  </r>
  <r>
    <x v="905"/>
    <x v="905"/>
    <s v="Working hard to get into the studio to record, produce, and edit my break out CD. I hope to realize my vision!"/>
    <n v="6500"/>
    <n v="196"/>
    <x v="2"/>
    <x v="0"/>
    <x v="0"/>
    <n v="1295847926"/>
    <n v="1290663926"/>
    <b v="0"/>
    <x v="79"/>
    <b v="0"/>
    <x v="13"/>
    <x v="717"/>
    <n v="3348"/>
    <x v="4"/>
    <x v="13"/>
  </r>
  <r>
    <x v="906"/>
    <x v="906"/>
    <s v="The DMV's most respected saxophonist pay tribute to Motown."/>
    <n v="15000"/>
    <n v="0"/>
    <x v="2"/>
    <x v="0"/>
    <x v="0"/>
    <n v="1394681590"/>
    <n v="1392093190"/>
    <b v="0"/>
    <x v="78"/>
    <b v="0"/>
    <x v="13"/>
    <x v="109"/>
    <n v="7500"/>
    <x v="4"/>
    <x v="13"/>
  </r>
  <r>
    <x v="907"/>
    <x v="907"/>
    <s v="Greg Chambers' self-titled CD needs support for post production, replication, and promotion."/>
    <n v="2900"/>
    <n v="0"/>
    <x v="2"/>
    <x v="0"/>
    <x v="0"/>
    <n v="1315715823"/>
    <n v="1313123823"/>
    <b v="0"/>
    <x v="78"/>
    <b v="0"/>
    <x v="13"/>
    <x v="109"/>
    <n v="1450"/>
    <x v="4"/>
    <x v="13"/>
  </r>
  <r>
    <x v="908"/>
    <x v="908"/>
    <s v="This project is designed to help protect the environment by using Eco-friendly product packaging."/>
    <n v="2500"/>
    <n v="0"/>
    <x v="2"/>
    <x v="0"/>
    <x v="0"/>
    <n v="1280206740"/>
    <n v="1276283655"/>
    <b v="0"/>
    <x v="78"/>
    <b v="0"/>
    <x v="13"/>
    <x v="109"/>
    <n v="1250"/>
    <x v="4"/>
    <x v="13"/>
  </r>
  <r>
    <x v="909"/>
    <x v="909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x v="22"/>
    <b v="0"/>
    <x v="13"/>
    <x v="140"/>
    <n v="8260"/>
    <x v="4"/>
    <x v="13"/>
  </r>
  <r>
    <x v="910"/>
    <x v="910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x v="81"/>
    <b v="0"/>
    <x v="13"/>
    <x v="718"/>
    <n v="336.5"/>
    <x v="4"/>
    <x v="13"/>
  </r>
  <r>
    <x v="911"/>
    <x v="911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x v="78"/>
    <b v="0"/>
    <x v="13"/>
    <x v="109"/>
    <n v="50000"/>
    <x v="4"/>
    <x v="13"/>
  </r>
  <r>
    <x v="912"/>
    <x v="912"/>
    <s v="My new album will be called Triad, an album of original music performed by me &amp; guest musical artists."/>
    <n v="3500"/>
    <n v="30"/>
    <x v="2"/>
    <x v="0"/>
    <x v="0"/>
    <n v="1355197047"/>
    <n v="1350009447"/>
    <b v="0"/>
    <x v="84"/>
    <b v="0"/>
    <x v="13"/>
    <x v="719"/>
    <n v="1765"/>
    <x v="4"/>
    <x v="13"/>
  </r>
  <r>
    <x v="913"/>
    <x v="913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x v="54"/>
    <b v="0"/>
    <x v="13"/>
    <x v="720"/>
    <n v="15991"/>
    <x v="4"/>
    <x v="13"/>
  </r>
  <r>
    <x v="914"/>
    <x v="914"/>
    <s v="This project is for the making of a music video. All funds will go towards production costs for this event only."/>
    <n v="1500"/>
    <n v="0"/>
    <x v="2"/>
    <x v="0"/>
    <x v="0"/>
    <n v="1345918747"/>
    <n v="1343326747"/>
    <b v="0"/>
    <x v="78"/>
    <b v="0"/>
    <x v="13"/>
    <x v="109"/>
    <n v="750"/>
    <x v="4"/>
    <x v="13"/>
  </r>
  <r>
    <x v="915"/>
    <x v="915"/>
    <s v="â€œThe Deep Brooklyn Suiteâ€ is a series of musical impressions about living and surviving in Brooklyn."/>
    <n v="6500"/>
    <n v="375"/>
    <x v="2"/>
    <x v="0"/>
    <x v="0"/>
    <n v="1330577940"/>
    <n v="1327853914"/>
    <b v="0"/>
    <x v="82"/>
    <b v="0"/>
    <x v="13"/>
    <x v="721"/>
    <n v="3437.5"/>
    <x v="4"/>
    <x v="13"/>
  </r>
  <r>
    <x v="916"/>
    <x v="916"/>
    <s v="Our next audio recording projects are scheduled for November 1 to 3, 2010 here in Kansas City, Missouri! "/>
    <n v="3300"/>
    <n v="0"/>
    <x v="2"/>
    <x v="0"/>
    <x v="0"/>
    <n v="1287723600"/>
    <n v="1284409734"/>
    <b v="0"/>
    <x v="78"/>
    <b v="0"/>
    <x v="13"/>
    <x v="109"/>
    <n v="1650"/>
    <x v="4"/>
    <x v="13"/>
  </r>
  <r>
    <x v="917"/>
    <x v="917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x v="29"/>
    <b v="0"/>
    <x v="13"/>
    <x v="722"/>
    <n v="2515"/>
    <x v="4"/>
    <x v="13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x v="73"/>
    <b v="0"/>
    <x v="13"/>
    <x v="723"/>
    <n v="2048"/>
    <x v="4"/>
    <x v="13"/>
  </r>
  <r>
    <x v="919"/>
    <x v="919"/>
    <s v="Cool jazz with a New Orleans flavor."/>
    <n v="20000"/>
    <n v="100"/>
    <x v="2"/>
    <x v="0"/>
    <x v="0"/>
    <n v="1355930645"/>
    <n v="1352906645"/>
    <b v="0"/>
    <x v="29"/>
    <b v="0"/>
    <x v="13"/>
    <x v="724"/>
    <n v="10050"/>
    <x v="4"/>
    <x v="13"/>
  </r>
  <r>
    <x v="920"/>
    <x v="920"/>
    <s v="Miami club band records powerhouse fusion album. You don't have to be a musician to understand the sound of jazz."/>
    <n v="5500"/>
    <n v="0"/>
    <x v="2"/>
    <x v="0"/>
    <x v="0"/>
    <n v="1384448822"/>
    <n v="1381853222"/>
    <b v="0"/>
    <x v="78"/>
    <b v="0"/>
    <x v="13"/>
    <x v="109"/>
    <n v="2750"/>
    <x v="4"/>
    <x v="13"/>
  </r>
  <r>
    <x v="921"/>
    <x v="921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x v="9"/>
    <b v="0"/>
    <x v="13"/>
    <x v="725"/>
    <n v="9817.5"/>
    <x v="4"/>
    <x v="13"/>
  </r>
  <r>
    <x v="922"/>
    <x v="922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x v="209"/>
    <b v="0"/>
    <x v="13"/>
    <x v="726"/>
    <n v="16340"/>
    <x v="4"/>
    <x v="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x v="79"/>
    <b v="0"/>
    <x v="13"/>
    <x v="727"/>
    <n v="7665"/>
    <x v="4"/>
    <x v="13"/>
  </r>
  <r>
    <x v="924"/>
    <x v="924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x v="41"/>
    <b v="0"/>
    <x v="13"/>
    <x v="728"/>
    <n v="1663.5"/>
    <x v="4"/>
    <x v="13"/>
  </r>
  <r>
    <x v="925"/>
    <x v="925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x v="81"/>
    <b v="0"/>
    <x v="13"/>
    <x v="129"/>
    <n v="3080"/>
    <x v="4"/>
    <x v="13"/>
  </r>
  <r>
    <x v="926"/>
    <x v="926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x v="78"/>
    <b v="0"/>
    <x v="13"/>
    <x v="109"/>
    <n v="3500"/>
    <x v="4"/>
    <x v="13"/>
  </r>
  <r>
    <x v="927"/>
    <x v="927"/>
    <s v="Studio CD/DVD Solo project of Pianist &amp; Keyboardist Jetro da Silva"/>
    <n v="20000"/>
    <n v="0"/>
    <x v="2"/>
    <x v="0"/>
    <x v="0"/>
    <n v="1337024695"/>
    <n v="1334432695"/>
    <b v="0"/>
    <x v="78"/>
    <b v="0"/>
    <x v="13"/>
    <x v="109"/>
    <n v="10000"/>
    <x v="4"/>
    <x v="13"/>
  </r>
  <r>
    <x v="928"/>
    <x v="928"/>
    <s v="A real Motown Backup singer on 22 gold and platinum albums headlines her own Jazz CD of Motown songs."/>
    <n v="14500"/>
    <n v="1575"/>
    <x v="2"/>
    <x v="0"/>
    <x v="0"/>
    <n v="1353196800"/>
    <n v="1348864913"/>
    <b v="0"/>
    <x v="33"/>
    <b v="0"/>
    <x v="13"/>
    <x v="729"/>
    <n v="8037.5"/>
    <x v="4"/>
    <x v="13"/>
  </r>
  <r>
    <x v="929"/>
    <x v="929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x v="78"/>
    <b v="0"/>
    <x v="13"/>
    <x v="109"/>
    <n v="250"/>
    <x v="4"/>
    <x v="13"/>
  </r>
  <r>
    <x v="930"/>
    <x v="930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x v="81"/>
    <b v="0"/>
    <x v="13"/>
    <x v="730"/>
    <n v="622.5"/>
    <x v="4"/>
    <x v="13"/>
  </r>
  <r>
    <x v="931"/>
    <x v="931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x v="63"/>
    <b v="0"/>
    <x v="13"/>
    <x v="731"/>
    <n v="1065.5"/>
    <x v="4"/>
    <x v="13"/>
  </r>
  <r>
    <x v="932"/>
    <x v="932"/>
    <s v="Help me to create my 3rd album, a Christmas CD with 16 Holiday/Original favorites!"/>
    <n v="9500"/>
    <n v="1381"/>
    <x v="2"/>
    <x v="0"/>
    <x v="0"/>
    <n v="1363990545"/>
    <n v="1360106145"/>
    <b v="0"/>
    <x v="209"/>
    <b v="0"/>
    <x v="13"/>
    <x v="732"/>
    <n v="5440.5"/>
    <x v="4"/>
    <x v="13"/>
  </r>
  <r>
    <x v="933"/>
    <x v="933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x v="84"/>
    <b v="0"/>
    <x v="13"/>
    <x v="733"/>
    <n v="1060"/>
    <x v="4"/>
    <x v="13"/>
  </r>
  <r>
    <x v="934"/>
    <x v="934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x v="209"/>
    <b v="0"/>
    <x v="13"/>
    <x v="734"/>
    <n v="3260"/>
    <x v="4"/>
    <x v="13"/>
  </r>
  <r>
    <x v="935"/>
    <x v="935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x v="84"/>
    <b v="0"/>
    <x v="13"/>
    <x v="735"/>
    <n v="1775"/>
    <x v="4"/>
    <x v="13"/>
  </r>
  <r>
    <x v="936"/>
    <x v="936"/>
    <s v="A CD of a live Jazz concert featuring Marti Mendenhall, George Mitchell, Scott Steed and Todd Strait."/>
    <n v="1400"/>
    <n v="0"/>
    <x v="2"/>
    <x v="0"/>
    <x v="0"/>
    <n v="1326916800"/>
    <n v="1323131689"/>
    <b v="0"/>
    <x v="78"/>
    <b v="0"/>
    <x v="13"/>
    <x v="109"/>
    <n v="700"/>
    <x v="4"/>
    <x v="13"/>
  </r>
  <r>
    <x v="937"/>
    <x v="937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x v="84"/>
    <b v="0"/>
    <x v="13"/>
    <x v="736"/>
    <n v="1770"/>
    <x v="4"/>
    <x v="13"/>
  </r>
  <r>
    <x v="938"/>
    <x v="938"/>
    <s v="Creating new avenues of exposure for young Jazz &amp; Soul artists_x000a_to express their Art of Music."/>
    <n v="7000"/>
    <n v="25"/>
    <x v="2"/>
    <x v="0"/>
    <x v="0"/>
    <n v="1346585448"/>
    <n v="1343993448"/>
    <b v="0"/>
    <x v="29"/>
    <b v="0"/>
    <x v="13"/>
    <x v="737"/>
    <n v="3512.5"/>
    <x v="4"/>
    <x v="13"/>
  </r>
  <r>
    <x v="939"/>
    <x v="939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x v="84"/>
    <b v="0"/>
    <x v="13"/>
    <x v="738"/>
    <n v="1395"/>
    <x v="4"/>
    <x v="13"/>
  </r>
  <r>
    <x v="940"/>
    <x v="940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x v="25"/>
    <b v="0"/>
    <x v="8"/>
    <x v="739"/>
    <n v="5272"/>
    <x v="2"/>
    <x v="8"/>
  </r>
  <r>
    <x v="941"/>
    <x v="941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x v="162"/>
    <b v="0"/>
    <x v="8"/>
    <x v="740"/>
    <n v="25580.5"/>
    <x v="2"/>
    <x v="8"/>
  </r>
  <r>
    <x v="942"/>
    <x v="942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x v="38"/>
    <b v="0"/>
    <x v="8"/>
    <x v="741"/>
    <n v="4084"/>
    <x v="2"/>
    <x v="8"/>
  </r>
  <r>
    <x v="943"/>
    <x v="943"/>
    <s v="A mask for home or travel that will give you the best, undisturbed sleep of your life."/>
    <n v="3000"/>
    <n v="289"/>
    <x v="2"/>
    <x v="0"/>
    <x v="0"/>
    <n v="1480438905"/>
    <n v="1477843305"/>
    <b v="0"/>
    <x v="8"/>
    <b v="0"/>
    <x v="8"/>
    <x v="742"/>
    <n v="1644.5"/>
    <x v="2"/>
    <x v="8"/>
  </r>
  <r>
    <x v="944"/>
    <x v="944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x v="93"/>
    <b v="0"/>
    <x v="8"/>
    <x v="743"/>
    <n v="28331.5"/>
    <x v="2"/>
    <x v="8"/>
  </r>
  <r>
    <x v="945"/>
    <x v="945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x v="38"/>
    <b v="0"/>
    <x v="8"/>
    <x v="744"/>
    <n v="51242"/>
    <x v="2"/>
    <x v="8"/>
  </r>
  <r>
    <x v="946"/>
    <x v="946"/>
    <s v="Soft edged-Hard working. The perfect wearable organization for the home and professional shop."/>
    <n v="15000"/>
    <n v="286"/>
    <x v="2"/>
    <x v="0"/>
    <x v="0"/>
    <n v="1473444048"/>
    <n v="1470852048"/>
    <b v="0"/>
    <x v="81"/>
    <b v="0"/>
    <x v="8"/>
    <x v="745"/>
    <n v="7643"/>
    <x v="2"/>
    <x v="8"/>
  </r>
  <r>
    <x v="947"/>
    <x v="947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x v="78"/>
    <b v="0"/>
    <x v="8"/>
    <x v="109"/>
    <n v="425"/>
    <x v="2"/>
    <x v="8"/>
  </r>
  <r>
    <x v="948"/>
    <x v="948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x v="22"/>
    <b v="0"/>
    <x v="8"/>
    <x v="746"/>
    <n v="2240"/>
    <x v="2"/>
    <x v="8"/>
  </r>
  <r>
    <x v="949"/>
    <x v="949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x v="63"/>
    <b v="0"/>
    <x v="8"/>
    <x v="747"/>
    <n v="10136.5"/>
    <x v="2"/>
    <x v="8"/>
  </r>
  <r>
    <x v="950"/>
    <x v="950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x v="54"/>
    <b v="0"/>
    <x v="8"/>
    <x v="748"/>
    <n v="3201"/>
    <x v="2"/>
    <x v="8"/>
  </r>
  <r>
    <x v="951"/>
    <x v="951"/>
    <s v="Revolutionizing the way we walk our dogs!"/>
    <n v="50000"/>
    <n v="19195"/>
    <x v="2"/>
    <x v="0"/>
    <x v="0"/>
    <n v="1465054872"/>
    <n v="1461166872"/>
    <b v="0"/>
    <x v="212"/>
    <b v="0"/>
    <x v="8"/>
    <x v="749"/>
    <n v="34597.5"/>
    <x v="2"/>
    <x v="8"/>
  </r>
  <r>
    <x v="952"/>
    <x v="952"/>
    <s v="Audionoggin: Wireless personal surround sound for the athlete in everyone."/>
    <n v="49000"/>
    <n v="19572"/>
    <x v="2"/>
    <x v="0"/>
    <x v="0"/>
    <n v="1479483812"/>
    <n v="1476888212"/>
    <b v="0"/>
    <x v="193"/>
    <b v="0"/>
    <x v="8"/>
    <x v="750"/>
    <n v="34286"/>
    <x v="2"/>
    <x v="8"/>
  </r>
  <r>
    <x v="953"/>
    <x v="953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x v="81"/>
    <b v="0"/>
    <x v="8"/>
    <x v="751"/>
    <n v="7563"/>
    <x v="2"/>
    <x v="8"/>
  </r>
  <r>
    <x v="954"/>
    <x v="954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x v="196"/>
    <b v="0"/>
    <x v="8"/>
    <x v="752"/>
    <n v="10755.5"/>
    <x v="2"/>
    <x v="8"/>
  </r>
  <r>
    <x v="955"/>
    <x v="955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x v="251"/>
    <b v="0"/>
    <x v="8"/>
    <x v="753"/>
    <n v="158492"/>
    <x v="2"/>
    <x v="8"/>
  </r>
  <r>
    <x v="956"/>
    <x v="956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x v="57"/>
    <b v="0"/>
    <x v="8"/>
    <x v="754"/>
    <n v="25430.5"/>
    <x v="2"/>
    <x v="8"/>
  </r>
  <r>
    <x v="957"/>
    <x v="957"/>
    <s v="A Leather Smart watch Band, that NEVER needs to be charged for only $37!"/>
    <n v="12000"/>
    <n v="233"/>
    <x v="2"/>
    <x v="0"/>
    <x v="0"/>
    <n v="1479392133"/>
    <n v="1476710133"/>
    <b v="0"/>
    <x v="63"/>
    <b v="0"/>
    <x v="8"/>
    <x v="755"/>
    <n v="6116.5"/>
    <x v="2"/>
    <x v="8"/>
  </r>
  <r>
    <x v="958"/>
    <x v="958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x v="57"/>
    <b v="0"/>
    <x v="8"/>
    <x v="756"/>
    <n v="4329"/>
    <x v="2"/>
    <x v="8"/>
  </r>
  <r>
    <x v="959"/>
    <x v="959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x v="199"/>
    <b v="0"/>
    <x v="8"/>
    <x v="757"/>
    <n v="34715"/>
    <x v="2"/>
    <x v="8"/>
  </r>
  <r>
    <x v="960"/>
    <x v="960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x v="101"/>
    <b v="0"/>
    <x v="8"/>
    <x v="758"/>
    <n v="40652.5"/>
    <x v="2"/>
    <x v="8"/>
  </r>
  <r>
    <x v="961"/>
    <x v="961"/>
    <s v="Active, happy &amp; healthy together! _x000a_Thatâ€™s our mission for all dogs and their parents."/>
    <n v="95000"/>
    <n v="40079"/>
    <x v="2"/>
    <x v="0"/>
    <x v="0"/>
    <n v="1487617200"/>
    <n v="1483634335"/>
    <b v="0"/>
    <x v="238"/>
    <b v="0"/>
    <x v="8"/>
    <x v="759"/>
    <n v="67539.5"/>
    <x v="2"/>
    <x v="8"/>
  </r>
  <r>
    <x v="962"/>
    <x v="962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x v="77"/>
    <b v="0"/>
    <x v="8"/>
    <x v="760"/>
    <n v="1606"/>
    <x v="2"/>
    <x v="8"/>
  </r>
  <r>
    <x v="963"/>
    <x v="963"/>
    <s v="WE are molding an educated, motivated, non violent GENERATION!"/>
    <n v="35000"/>
    <n v="377"/>
    <x v="2"/>
    <x v="0"/>
    <x v="0"/>
    <n v="1476717319"/>
    <n v="1473693319"/>
    <b v="0"/>
    <x v="82"/>
    <b v="0"/>
    <x v="8"/>
    <x v="761"/>
    <n v="17688.5"/>
    <x v="2"/>
    <x v="8"/>
  </r>
  <r>
    <x v="964"/>
    <x v="964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x v="60"/>
    <b v="0"/>
    <x v="8"/>
    <x v="762"/>
    <n v="55439.5"/>
    <x v="2"/>
    <x v="8"/>
  </r>
  <r>
    <x v="965"/>
    <x v="965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x v="79"/>
    <b v="0"/>
    <x v="8"/>
    <x v="763"/>
    <n v="12649"/>
    <x v="2"/>
    <x v="8"/>
  </r>
  <r>
    <x v="966"/>
    <x v="966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x v="209"/>
    <b v="0"/>
    <x v="8"/>
    <x v="764"/>
    <n v="6888"/>
    <x v="2"/>
    <x v="8"/>
  </r>
  <r>
    <x v="967"/>
    <x v="967"/>
    <s v="Better Beanie is the new therapeutic wearable designed to assist you while keeping your hands free."/>
    <n v="20000"/>
    <n v="3562"/>
    <x v="2"/>
    <x v="0"/>
    <x v="0"/>
    <n v="1461301574"/>
    <n v="1456121174"/>
    <b v="0"/>
    <x v="75"/>
    <b v="0"/>
    <x v="8"/>
    <x v="765"/>
    <n v="11781"/>
    <x v="2"/>
    <x v="8"/>
  </r>
  <r>
    <x v="968"/>
    <x v="968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x v="80"/>
    <b v="0"/>
    <x v="8"/>
    <x v="766"/>
    <n v="4053"/>
    <x v="2"/>
    <x v="8"/>
  </r>
  <r>
    <x v="969"/>
    <x v="969"/>
    <s v="Geek &amp; Chic Smart Jewelry Collection, Wearables Meet Style!"/>
    <n v="30000"/>
    <n v="14000"/>
    <x v="2"/>
    <x v="14"/>
    <x v="10"/>
    <n v="1486624607"/>
    <n v="1483773407"/>
    <b v="0"/>
    <x v="202"/>
    <b v="0"/>
    <x v="8"/>
    <x v="767"/>
    <n v="22000"/>
    <x v="2"/>
    <x v="8"/>
  </r>
  <r>
    <x v="970"/>
    <x v="970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x v="25"/>
    <b v="0"/>
    <x v="8"/>
    <x v="768"/>
    <n v="3648"/>
    <x v="2"/>
    <x v="8"/>
  </r>
  <r>
    <x v="971"/>
    <x v="971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x v="81"/>
    <b v="0"/>
    <x v="8"/>
    <x v="769"/>
    <n v="50113"/>
    <x v="2"/>
    <x v="8"/>
  </r>
  <r>
    <x v="972"/>
    <x v="972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x v="43"/>
    <b v="0"/>
    <x v="8"/>
    <x v="770"/>
    <n v="13462.5"/>
    <x v="2"/>
    <x v="8"/>
  </r>
  <r>
    <x v="973"/>
    <x v="973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x v="22"/>
    <b v="0"/>
    <x v="8"/>
    <x v="771"/>
    <n v="10205.5"/>
    <x v="2"/>
    <x v="8"/>
  </r>
  <r>
    <x v="974"/>
    <x v="974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x v="83"/>
    <b v="0"/>
    <x v="8"/>
    <x v="470"/>
    <n v="25140"/>
    <x v="2"/>
    <x v="8"/>
  </r>
  <r>
    <x v="975"/>
    <x v="975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x v="54"/>
    <b v="0"/>
    <x v="8"/>
    <x v="772"/>
    <n v="51303.5"/>
    <x v="2"/>
    <x v="8"/>
  </r>
  <r>
    <x v="976"/>
    <x v="976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x v="59"/>
    <b v="0"/>
    <x v="8"/>
    <x v="773"/>
    <n v="76444.5"/>
    <x v="2"/>
    <x v="8"/>
  </r>
  <r>
    <x v="977"/>
    <x v="977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x v="8"/>
    <b v="0"/>
    <x v="8"/>
    <x v="774"/>
    <n v="1804.5"/>
    <x v="2"/>
    <x v="8"/>
  </r>
  <r>
    <x v="978"/>
    <x v="978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x v="252"/>
    <b v="0"/>
    <x v="8"/>
    <x v="775"/>
    <n v="135081"/>
    <x v="2"/>
    <x v="8"/>
  </r>
  <r>
    <x v="979"/>
    <x v="979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x v="93"/>
    <b v="0"/>
    <x v="8"/>
    <x v="776"/>
    <n v="31993.08"/>
    <x v="2"/>
    <x v="8"/>
  </r>
  <r>
    <x v="980"/>
    <x v="980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x v="162"/>
    <b v="0"/>
    <x v="8"/>
    <x v="777"/>
    <n v="5743"/>
    <x v="2"/>
    <x v="8"/>
  </r>
  <r>
    <x v="981"/>
    <x v="981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x v="80"/>
    <b v="0"/>
    <x v="8"/>
    <x v="778"/>
    <n v="44449.5"/>
    <x v="2"/>
    <x v="8"/>
  </r>
  <r>
    <x v="982"/>
    <x v="982"/>
    <s v="revolutonary ultra-slim 2-in-1 Smart  2-in-1 I-PHONE handle/WALLETtm with 360 rotatiion"/>
    <n v="17500"/>
    <n v="3"/>
    <x v="2"/>
    <x v="0"/>
    <x v="0"/>
    <n v="1475431486"/>
    <n v="1472839486"/>
    <b v="0"/>
    <x v="83"/>
    <b v="0"/>
    <x v="8"/>
    <x v="779"/>
    <n v="8751.5"/>
    <x v="2"/>
    <x v="8"/>
  </r>
  <r>
    <x v="983"/>
    <x v="983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x v="122"/>
    <b v="0"/>
    <x v="8"/>
    <x v="780"/>
    <n v="67485"/>
    <x v="2"/>
    <x v="8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x v="83"/>
    <b v="0"/>
    <x v="8"/>
    <x v="550"/>
    <n v="5053"/>
    <x v="2"/>
    <x v="8"/>
  </r>
  <r>
    <x v="985"/>
    <x v="985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x v="23"/>
    <b v="0"/>
    <x v="8"/>
    <x v="781"/>
    <n v="15944"/>
    <x v="2"/>
    <x v="8"/>
  </r>
  <r>
    <x v="986"/>
    <x v="986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x v="23"/>
    <b v="0"/>
    <x v="8"/>
    <x v="782"/>
    <n v="11275"/>
    <x v="2"/>
    <x v="8"/>
  </r>
  <r>
    <x v="987"/>
    <x v="987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x v="14"/>
    <b v="0"/>
    <x v="8"/>
    <x v="783"/>
    <n v="28305"/>
    <x v="2"/>
    <x v="8"/>
  </r>
  <r>
    <x v="988"/>
    <x v="988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x v="78"/>
    <b v="0"/>
    <x v="8"/>
    <x v="109"/>
    <n v="2500"/>
    <x v="2"/>
    <x v="8"/>
  </r>
  <r>
    <x v="989"/>
    <x v="989"/>
    <s v="The most useful phone charger you will ever buy"/>
    <n v="10000"/>
    <n v="1677"/>
    <x v="2"/>
    <x v="0"/>
    <x v="0"/>
    <n v="1475101495"/>
    <n v="1472509495"/>
    <b v="0"/>
    <x v="58"/>
    <b v="0"/>
    <x v="8"/>
    <x v="784"/>
    <n v="5838.5"/>
    <x v="2"/>
    <x v="8"/>
  </r>
  <r>
    <x v="990"/>
    <x v="990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x v="84"/>
    <b v="0"/>
    <x v="8"/>
    <x v="477"/>
    <n v="12513"/>
    <x v="2"/>
    <x v="8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x v="63"/>
    <b v="0"/>
    <x v="8"/>
    <x v="785"/>
    <n v="2606"/>
    <x v="2"/>
    <x v="8"/>
  </r>
  <r>
    <x v="992"/>
    <x v="992"/>
    <s v="The HOTTEST and COOLEST thing yet! WairConditioning... an entirely new level of comfortability!"/>
    <n v="100000"/>
    <n v="467"/>
    <x v="2"/>
    <x v="0"/>
    <x v="0"/>
    <n v="1462655519"/>
    <n v="1457475119"/>
    <b v="0"/>
    <x v="80"/>
    <b v="0"/>
    <x v="8"/>
    <x v="786"/>
    <n v="50233.5"/>
    <x v="2"/>
    <x v="8"/>
  </r>
  <r>
    <x v="993"/>
    <x v="993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x v="193"/>
    <b v="0"/>
    <x v="8"/>
    <x v="787"/>
    <n v="43780.5"/>
    <x v="2"/>
    <x v="8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x v="202"/>
    <b v="0"/>
    <x v="8"/>
    <x v="788"/>
    <n v="102334.5"/>
    <x v="2"/>
    <x v="8"/>
  </r>
  <r>
    <x v="995"/>
    <x v="995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x v="82"/>
    <b v="0"/>
    <x v="8"/>
    <x v="789"/>
    <n v="5363"/>
    <x v="2"/>
    <x v="8"/>
  </r>
  <r>
    <x v="996"/>
    <x v="996"/>
    <s v="Study the behaviour of technical communities by tracking their movement  through wearables"/>
    <n v="4000"/>
    <n v="65"/>
    <x v="2"/>
    <x v="0"/>
    <x v="0"/>
    <n v="1406474820"/>
    <n v="1403902060"/>
    <b v="0"/>
    <x v="81"/>
    <b v="0"/>
    <x v="8"/>
    <x v="790"/>
    <n v="2032.5"/>
    <x v="2"/>
    <x v="8"/>
  </r>
  <r>
    <x v="997"/>
    <x v="997"/>
    <s v="The iPhanny keeps your iPhone 6 safe from bending in those dangerous pants pockets."/>
    <n v="5000"/>
    <n v="65"/>
    <x v="2"/>
    <x v="0"/>
    <x v="0"/>
    <n v="1417145297"/>
    <n v="1414549697"/>
    <b v="0"/>
    <x v="22"/>
    <b v="0"/>
    <x v="8"/>
    <x v="698"/>
    <n v="2532.5"/>
    <x v="2"/>
    <x v="8"/>
  </r>
  <r>
    <x v="998"/>
    <x v="998"/>
    <s v="Ollinfit is the first wearable fitness trainer with 3 sensors for superior accuracy, feedback and results."/>
    <n v="60000"/>
    <n v="35135"/>
    <x v="2"/>
    <x v="5"/>
    <x v="5"/>
    <n v="1447909401"/>
    <n v="1444017801"/>
    <b v="0"/>
    <x v="194"/>
    <b v="0"/>
    <x v="8"/>
    <x v="791"/>
    <n v="47567.5"/>
    <x v="2"/>
    <x v="8"/>
  </r>
  <r>
    <x v="999"/>
    <x v="999"/>
    <s v="Built in running, cycling, pedometer, and golf features for the edge you need to perform at your very best!"/>
    <n v="150000"/>
    <n v="11683"/>
    <x v="2"/>
    <x v="5"/>
    <x v="5"/>
    <n v="1415865720"/>
    <n v="1413270690"/>
    <b v="0"/>
    <x v="244"/>
    <b v="0"/>
    <x v="8"/>
    <x v="792"/>
    <n v="80841.5"/>
    <x v="2"/>
    <x v="8"/>
  </r>
  <r>
    <x v="1000"/>
    <x v="1000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x v="79"/>
    <b v="0"/>
    <x v="8"/>
    <x v="793"/>
    <n v="457262"/>
    <x v="2"/>
    <x v="8"/>
  </r>
  <r>
    <x v="1001"/>
    <x v="1001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x v="80"/>
    <b v="0"/>
    <x v="8"/>
    <x v="87"/>
    <n v="5100"/>
    <x v="2"/>
    <x v="8"/>
  </r>
  <r>
    <x v="1002"/>
    <x v="1002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x v="19"/>
    <b v="0"/>
    <x v="8"/>
    <x v="794"/>
    <n v="6479.5"/>
    <x v="2"/>
    <x v="8"/>
  </r>
  <r>
    <x v="1003"/>
    <x v="1003"/>
    <s v="Connected, heating, premium quality and comfortable leather sneakers - hand-crafted in France."/>
    <n v="20000"/>
    <n v="3211"/>
    <x v="1"/>
    <x v="6"/>
    <x v="3"/>
    <n v="1489680061"/>
    <n v="1487091661"/>
    <b v="0"/>
    <x v="41"/>
    <b v="0"/>
    <x v="8"/>
    <x v="795"/>
    <n v="11605.5"/>
    <x v="2"/>
    <x v="8"/>
  </r>
  <r>
    <x v="1004"/>
    <x v="1004"/>
    <s v="Harnessing wearable technology as a powerful defense for food-allergy children."/>
    <n v="25000"/>
    <n v="20552"/>
    <x v="1"/>
    <x v="0"/>
    <x v="0"/>
    <n v="1455814827"/>
    <n v="1453222827"/>
    <b v="0"/>
    <x v="195"/>
    <b v="0"/>
    <x v="8"/>
    <x v="796"/>
    <n v="22776"/>
    <x v="2"/>
    <x v="8"/>
  </r>
  <r>
    <x v="1005"/>
    <x v="1005"/>
    <s v="The Forcite Alpine helmet records 4K footage and keeps you connected all in one sleek design."/>
    <n v="200000"/>
    <n v="150102"/>
    <x v="1"/>
    <x v="0"/>
    <x v="0"/>
    <n v="1446217183"/>
    <n v="1443538783"/>
    <b v="0"/>
    <x v="253"/>
    <b v="0"/>
    <x v="8"/>
    <x v="797"/>
    <n v="175051"/>
    <x v="2"/>
    <x v="8"/>
  </r>
  <r>
    <x v="1006"/>
    <x v="1006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x v="22"/>
    <b v="0"/>
    <x v="8"/>
    <x v="798"/>
    <n v="2117"/>
    <x v="2"/>
    <x v="8"/>
  </r>
  <r>
    <x v="1007"/>
    <x v="1007"/>
    <s v="Our knee sleeve monitors your muscles and recommends rest time (on a mobile app) when it detects overexertion!"/>
    <n v="30000"/>
    <n v="13296"/>
    <x v="1"/>
    <x v="0"/>
    <x v="0"/>
    <n v="1481727623"/>
    <n v="1478095223"/>
    <b v="0"/>
    <x v="88"/>
    <b v="0"/>
    <x v="8"/>
    <x v="799"/>
    <n v="21648"/>
    <x v="2"/>
    <x v="8"/>
  </r>
  <r>
    <x v="1008"/>
    <x v="1008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x v="29"/>
    <b v="0"/>
    <x v="8"/>
    <x v="800"/>
    <n v="46875"/>
    <x v="2"/>
    <x v="8"/>
  </r>
  <r>
    <x v="1009"/>
    <x v="1009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x v="21"/>
    <b v="0"/>
    <x v="8"/>
    <x v="801"/>
    <n v="28282.5"/>
    <x v="2"/>
    <x v="8"/>
  </r>
  <r>
    <x v="1010"/>
    <x v="1010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x v="80"/>
    <b v="0"/>
    <x v="8"/>
    <x v="802"/>
    <n v="57735"/>
    <x v="2"/>
    <x v="8"/>
  </r>
  <r>
    <x v="1011"/>
    <x v="1011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x v="29"/>
    <b v="0"/>
    <x v="8"/>
    <x v="803"/>
    <n v="10037.5"/>
    <x v="2"/>
    <x v="8"/>
  </r>
  <r>
    <x v="1012"/>
    <x v="1012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x v="254"/>
    <b v="0"/>
    <x v="8"/>
    <x v="804"/>
    <n v="540875.52500000002"/>
    <x v="2"/>
    <x v="8"/>
  </r>
  <r>
    <x v="1013"/>
    <x v="1013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x v="240"/>
    <b v="0"/>
    <x v="8"/>
    <x v="805"/>
    <n v="16816"/>
    <x v="2"/>
    <x v="8"/>
  </r>
  <r>
    <x v="1014"/>
    <x v="1014"/>
    <s v="CHEMION is an eyewear device that lets you show your creativity to the world."/>
    <n v="10000"/>
    <n v="3060"/>
    <x v="1"/>
    <x v="0"/>
    <x v="0"/>
    <n v="1420070615"/>
    <n v="1415750615"/>
    <b v="0"/>
    <x v="38"/>
    <b v="0"/>
    <x v="8"/>
    <x v="806"/>
    <n v="6530"/>
    <x v="2"/>
    <x v="8"/>
  </r>
  <r>
    <x v="1015"/>
    <x v="1015"/>
    <s v="SKIN - The wearable music remote control which makes your fitness lifestyle a bit easier"/>
    <n v="9000"/>
    <n v="240"/>
    <x v="1"/>
    <x v="16"/>
    <x v="11"/>
    <n v="1448489095"/>
    <n v="1445893495"/>
    <b v="0"/>
    <x v="79"/>
    <b v="0"/>
    <x v="8"/>
    <x v="129"/>
    <n v="4620"/>
    <x v="2"/>
    <x v="8"/>
  </r>
  <r>
    <x v="1016"/>
    <x v="1016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x v="44"/>
    <b v="0"/>
    <x v="8"/>
    <x v="807"/>
    <n v="51421"/>
    <x v="2"/>
    <x v="8"/>
  </r>
  <r>
    <x v="1017"/>
    <x v="1017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x v="255"/>
    <b v="0"/>
    <x v="8"/>
    <x v="808"/>
    <n v="153598.5"/>
    <x v="2"/>
    <x v="8"/>
  </r>
  <r>
    <x v="1018"/>
    <x v="1018"/>
    <s v="Owl is a fitness tracker along with an accompanying iOS app, that is both fun and interactive for children."/>
    <n v="20000"/>
    <n v="621"/>
    <x v="1"/>
    <x v="0"/>
    <x v="0"/>
    <n v="1468496933"/>
    <n v="1465904933"/>
    <b v="0"/>
    <x v="63"/>
    <b v="0"/>
    <x v="8"/>
    <x v="809"/>
    <n v="10310.5"/>
    <x v="2"/>
    <x v="8"/>
  </r>
  <r>
    <x v="1019"/>
    <x v="1019"/>
    <s v="Tempi Is a Wearable Bluetooth Device That Gives Accurate Temperature and Humidity Readings."/>
    <n v="45000"/>
    <n v="21300"/>
    <x v="1"/>
    <x v="0"/>
    <x v="0"/>
    <n v="1423092149"/>
    <n v="1420500149"/>
    <b v="0"/>
    <x v="256"/>
    <b v="0"/>
    <x v="8"/>
    <x v="810"/>
    <n v="33150"/>
    <x v="2"/>
    <x v="8"/>
  </r>
  <r>
    <x v="1020"/>
    <x v="1020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x v="209"/>
    <b v="1"/>
    <x v="15"/>
    <x v="811"/>
    <n v="2368"/>
    <x v="4"/>
    <x v="15"/>
  </r>
  <r>
    <x v="1021"/>
    <x v="1021"/>
    <s v="Rick and Morty concept album written by Allie Goertz + music video directed by Paul B. Cummings!"/>
    <n v="3000"/>
    <n v="10554.11"/>
    <x v="0"/>
    <x v="0"/>
    <x v="0"/>
    <n v="1445054400"/>
    <n v="1443074571"/>
    <b v="1"/>
    <x v="257"/>
    <b v="1"/>
    <x v="15"/>
    <x v="812"/>
    <n v="6777.0550000000003"/>
    <x v="4"/>
    <x v="15"/>
  </r>
  <r>
    <x v="1022"/>
    <x v="1022"/>
    <s v="Help get four new bootlegs onto vinyl in the second installment of my series!"/>
    <n v="2000"/>
    <n v="2298"/>
    <x v="0"/>
    <x v="0"/>
    <x v="0"/>
    <n v="1431876677"/>
    <n v="1429284677"/>
    <b v="1"/>
    <x v="142"/>
    <b v="1"/>
    <x v="15"/>
    <x v="813"/>
    <n v="2149"/>
    <x v="4"/>
    <x v="15"/>
  </r>
  <r>
    <x v="1023"/>
    <x v="1023"/>
    <s v="A collaborative, electronic journey helmed by producer Christopher Bingham and guitarist Carlos Montero."/>
    <n v="2000"/>
    <n v="4743"/>
    <x v="0"/>
    <x v="1"/>
    <x v="1"/>
    <n v="1434837861"/>
    <n v="1432245861"/>
    <b v="0"/>
    <x v="132"/>
    <b v="1"/>
    <x v="15"/>
    <x v="814"/>
    <n v="3371.5"/>
    <x v="4"/>
    <x v="15"/>
  </r>
  <r>
    <x v="1024"/>
    <x v="1024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x v="42"/>
    <b v="1"/>
    <x v="15"/>
    <x v="815"/>
    <n v="21863.775000000001"/>
    <x v="4"/>
    <x v="15"/>
  </r>
  <r>
    <x v="1025"/>
    <x v="1025"/>
    <s v="Jake Kaufman and Jessie Seely present THE WORLD'S FIRST VIRTUAL REALITY ROCK OPERA."/>
    <n v="70000"/>
    <n v="76949.820000000007"/>
    <x v="0"/>
    <x v="0"/>
    <x v="0"/>
    <n v="1426532437"/>
    <n v="1423944037"/>
    <b v="1"/>
    <x v="258"/>
    <b v="1"/>
    <x v="15"/>
    <x v="816"/>
    <n v="73474.91"/>
    <x v="4"/>
    <x v="15"/>
  </r>
  <r>
    <x v="1026"/>
    <x v="1026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x v="259"/>
    <b v="1"/>
    <x v="15"/>
    <x v="817"/>
    <n v="7000.29"/>
    <x v="4"/>
    <x v="15"/>
  </r>
  <r>
    <x v="1027"/>
    <x v="1027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x v="112"/>
    <b v="1"/>
    <x v="15"/>
    <x v="818"/>
    <n v="7617"/>
    <x v="4"/>
    <x v="15"/>
  </r>
  <r>
    <x v="1028"/>
    <x v="1028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x v="260"/>
    <b v="1"/>
    <x v="15"/>
    <x v="819"/>
    <n v="10863.5"/>
    <x v="4"/>
    <x v="15"/>
  </r>
  <r>
    <x v="1029"/>
    <x v="1029"/>
    <s v="We want to recreate last years massive Valborgparty in Lund but this time even bigger!"/>
    <n v="10000"/>
    <n v="11176"/>
    <x v="0"/>
    <x v="11"/>
    <x v="9"/>
    <n v="1428184740"/>
    <n v="1423501507"/>
    <b v="0"/>
    <x v="261"/>
    <b v="1"/>
    <x v="15"/>
    <x v="820"/>
    <n v="10588"/>
    <x v="4"/>
    <x v="15"/>
  </r>
  <r>
    <x v="1030"/>
    <x v="1030"/>
    <s v="Help fund the latest Gothsicles mega-album, I FEEL SICLE!"/>
    <n v="2000"/>
    <n v="6842"/>
    <x v="0"/>
    <x v="0"/>
    <x v="0"/>
    <n v="1473680149"/>
    <n v="1472470549"/>
    <b v="0"/>
    <x v="180"/>
    <b v="1"/>
    <x v="15"/>
    <x v="821"/>
    <n v="4421"/>
    <x v="4"/>
    <x v="15"/>
  </r>
  <r>
    <x v="1031"/>
    <x v="1031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x v="221"/>
    <b v="1"/>
    <x v="15"/>
    <x v="202"/>
    <n v="10370"/>
    <x v="4"/>
    <x v="15"/>
  </r>
  <r>
    <x v="1032"/>
    <x v="1032"/>
    <s v="Ideal for living rooms and open spaces."/>
    <n v="5400"/>
    <n v="5858.84"/>
    <x v="0"/>
    <x v="0"/>
    <x v="0"/>
    <n v="1466697625"/>
    <n v="1464105625"/>
    <b v="0"/>
    <x v="93"/>
    <b v="1"/>
    <x v="15"/>
    <x v="822"/>
    <n v="5629.42"/>
    <x v="4"/>
    <x v="15"/>
  </r>
  <r>
    <x v="1033"/>
    <x v="1033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x v="74"/>
    <b v="1"/>
    <x v="15"/>
    <x v="823"/>
    <n v="1347"/>
    <x v="4"/>
    <x v="15"/>
  </r>
  <r>
    <x v="1034"/>
    <x v="1034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x v="262"/>
    <b v="1"/>
    <x v="15"/>
    <x v="824"/>
    <n v="5750.0450000000001"/>
    <x v="4"/>
    <x v="15"/>
  </r>
  <r>
    <x v="1035"/>
    <x v="1035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x v="88"/>
    <b v="1"/>
    <x v="15"/>
    <x v="825"/>
    <n v="4776"/>
    <x v="4"/>
    <x v="15"/>
  </r>
  <r>
    <x v="1036"/>
    <x v="1036"/>
    <s v="Help this Soulful &amp; Cinematic Glitch-Pop Songwriter Bring her Music to the World!  (And your Ears:)"/>
    <n v="4500"/>
    <n v="5056.22"/>
    <x v="0"/>
    <x v="0"/>
    <x v="0"/>
    <n v="1357545600"/>
    <n v="1354790790"/>
    <b v="0"/>
    <x v="263"/>
    <b v="1"/>
    <x v="15"/>
    <x v="826"/>
    <n v="4778.1100000000006"/>
    <x v="4"/>
    <x v="15"/>
  </r>
  <r>
    <x v="1037"/>
    <x v="1037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x v="64"/>
    <b v="1"/>
    <x v="15"/>
    <x v="426"/>
    <n v="1010.5"/>
    <x v="4"/>
    <x v="15"/>
  </r>
  <r>
    <x v="1038"/>
    <x v="1038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x v="42"/>
    <b v="1"/>
    <x v="15"/>
    <x v="827"/>
    <n v="1840"/>
    <x v="4"/>
    <x v="15"/>
  </r>
  <r>
    <x v="1039"/>
    <x v="1039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x v="209"/>
    <b v="1"/>
    <x v="15"/>
    <x v="828"/>
    <n v="570.5"/>
    <x v="4"/>
    <x v="15"/>
  </r>
  <r>
    <x v="1040"/>
    <x v="1040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x v="29"/>
    <b v="0"/>
    <x v="16"/>
    <x v="385"/>
    <n v="42625"/>
    <x v="5"/>
    <x v="16"/>
  </r>
  <r>
    <x v="1041"/>
    <x v="1041"/>
    <s v="I am trying to document what it is like to plunge head first into the music/audio industry as an intern."/>
    <n v="50"/>
    <n v="0"/>
    <x v="1"/>
    <x v="0"/>
    <x v="0"/>
    <n v="1406769992"/>
    <n v="1405041992"/>
    <b v="0"/>
    <x v="78"/>
    <b v="0"/>
    <x v="16"/>
    <x v="109"/>
    <n v="25"/>
    <x v="5"/>
    <x v="16"/>
  </r>
  <r>
    <x v="1042"/>
    <x v="1042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x v="29"/>
    <b v="0"/>
    <x v="16"/>
    <x v="829"/>
    <n v="330"/>
    <x v="5"/>
    <x v="16"/>
  </r>
  <r>
    <x v="1043"/>
    <x v="1043"/>
    <s v="We're seeking funding for a special 10th Anniversary PRINT EDITION! Receive your own copy for only $8"/>
    <n v="100000"/>
    <n v="8537"/>
    <x v="1"/>
    <x v="0"/>
    <x v="0"/>
    <n v="1432101855"/>
    <n v="1429509855"/>
    <b v="0"/>
    <x v="264"/>
    <b v="0"/>
    <x v="16"/>
    <x v="830"/>
    <n v="54268.5"/>
    <x v="5"/>
    <x v="16"/>
  </r>
  <r>
    <x v="1044"/>
    <x v="1044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x v="84"/>
    <b v="0"/>
    <x v="16"/>
    <x v="831"/>
    <n v="3503"/>
    <x v="5"/>
    <x v="16"/>
  </r>
  <r>
    <x v="1045"/>
    <x v="1045"/>
    <s v="In Case Of Emergency is a radio talk show for preppers, beginning preppers, and with preparedness in mind."/>
    <n v="10000"/>
    <n v="266"/>
    <x v="1"/>
    <x v="0"/>
    <x v="0"/>
    <n v="1408827550"/>
    <n v="1406235550"/>
    <b v="0"/>
    <x v="22"/>
    <b v="0"/>
    <x v="16"/>
    <x v="832"/>
    <n v="5133"/>
    <x v="5"/>
    <x v="16"/>
  </r>
  <r>
    <x v="1046"/>
    <x v="1046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x v="78"/>
    <b v="0"/>
    <x v="16"/>
    <x v="109"/>
    <n v="1500"/>
    <x v="5"/>
    <x v="16"/>
  </r>
  <r>
    <x v="1047"/>
    <x v="1047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x v="29"/>
    <b v="0"/>
    <x v="16"/>
    <x v="833"/>
    <n v="1000.5"/>
    <x v="5"/>
    <x v="16"/>
  </r>
  <r>
    <x v="1048"/>
    <x v="1048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x v="80"/>
    <b v="0"/>
    <x v="16"/>
    <x v="834"/>
    <n v="7606"/>
    <x v="5"/>
    <x v="16"/>
  </r>
  <r>
    <x v="1049"/>
    <x v="1049"/>
    <s v="------"/>
    <n v="12000"/>
    <n v="0"/>
    <x v="1"/>
    <x v="0"/>
    <x v="0"/>
    <n v="1455272445"/>
    <n v="1452680445"/>
    <b v="0"/>
    <x v="78"/>
    <b v="0"/>
    <x v="16"/>
    <x v="109"/>
    <n v="6000"/>
    <x v="5"/>
    <x v="16"/>
  </r>
  <r>
    <x v="1050"/>
    <x v="1050"/>
    <s v="Secularism is on the rise and I hear you.Talk to me."/>
    <n v="2500"/>
    <n v="0"/>
    <x v="1"/>
    <x v="0"/>
    <x v="0"/>
    <n v="1442257677"/>
    <n v="1439665677"/>
    <b v="0"/>
    <x v="78"/>
    <b v="0"/>
    <x v="16"/>
    <x v="109"/>
    <n v="1250"/>
    <x v="5"/>
    <x v="16"/>
  </r>
  <r>
    <x v="1051"/>
    <x v="1051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x v="78"/>
    <b v="0"/>
    <x v="16"/>
    <x v="109"/>
    <n v="250"/>
    <x v="5"/>
    <x v="16"/>
  </r>
  <r>
    <x v="1052"/>
    <x v="1052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x v="78"/>
    <b v="0"/>
    <x v="16"/>
    <x v="109"/>
    <n v="2168"/>
    <x v="5"/>
    <x v="16"/>
  </r>
  <r>
    <x v="1053"/>
    <x v="1053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x v="29"/>
    <b v="0"/>
    <x v="16"/>
    <x v="460"/>
    <n v="757.5"/>
    <x v="5"/>
    <x v="16"/>
  </r>
  <r>
    <x v="1054"/>
    <x v="1054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x v="78"/>
    <b v="0"/>
    <x v="16"/>
    <x v="109"/>
    <n v="1250"/>
    <x v="5"/>
    <x v="16"/>
  </r>
  <r>
    <x v="1055"/>
    <x v="1055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x v="78"/>
    <b v="0"/>
    <x v="16"/>
    <x v="109"/>
    <n v="1750"/>
    <x v="5"/>
    <x v="16"/>
  </r>
  <r>
    <x v="1056"/>
    <x v="1056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x v="78"/>
    <b v="0"/>
    <x v="16"/>
    <x v="109"/>
    <n v="5000"/>
    <x v="5"/>
    <x v="16"/>
  </r>
  <r>
    <x v="1057"/>
    <x v="1057"/>
    <s v="Sayin it Plain is a Independent Radio Show created to inform the public and empower the community."/>
    <n v="10000"/>
    <n v="0"/>
    <x v="1"/>
    <x v="0"/>
    <x v="0"/>
    <n v="1480888483"/>
    <n v="1478292883"/>
    <b v="0"/>
    <x v="78"/>
    <b v="0"/>
    <x v="16"/>
    <x v="109"/>
    <n v="5000"/>
    <x v="5"/>
    <x v="16"/>
  </r>
  <r>
    <x v="1058"/>
    <x v="1058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x v="78"/>
    <b v="0"/>
    <x v="16"/>
    <x v="109"/>
    <n v="20000"/>
    <x v="5"/>
    <x v="16"/>
  </r>
  <r>
    <x v="1059"/>
    <x v="1059"/>
    <s v="Turning myself into a vocal artist."/>
    <n v="1100"/>
    <n v="0"/>
    <x v="1"/>
    <x v="0"/>
    <x v="0"/>
    <n v="1426269456"/>
    <n v="1423681056"/>
    <b v="0"/>
    <x v="78"/>
    <b v="0"/>
    <x v="16"/>
    <x v="109"/>
    <n v="550"/>
    <x v="5"/>
    <x v="16"/>
  </r>
  <r>
    <x v="1060"/>
    <x v="1060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x v="29"/>
    <b v="0"/>
    <x v="16"/>
    <x v="460"/>
    <n v="2525"/>
    <x v="5"/>
    <x v="16"/>
  </r>
  <r>
    <x v="1061"/>
    <x v="1061"/>
    <s v="T.O., Adi &amp; Mercedes discuss their point of views, women's issues &amp; Hollywood Hotties."/>
    <n v="4000"/>
    <n v="0"/>
    <x v="1"/>
    <x v="0"/>
    <x v="0"/>
    <n v="1462150800"/>
    <n v="1456987108"/>
    <b v="0"/>
    <x v="78"/>
    <b v="0"/>
    <x v="16"/>
    <x v="109"/>
    <n v="2000"/>
    <x v="5"/>
    <x v="16"/>
  </r>
  <r>
    <x v="1062"/>
    <x v="1062"/>
    <s v="SEE US ON PATREON www.badgirlartwork.com"/>
    <n v="199"/>
    <n v="190"/>
    <x v="1"/>
    <x v="0"/>
    <x v="0"/>
    <n v="1468351341"/>
    <n v="1467746541"/>
    <b v="0"/>
    <x v="80"/>
    <b v="0"/>
    <x v="16"/>
    <x v="835"/>
    <n v="194.5"/>
    <x v="5"/>
    <x v="16"/>
  </r>
  <r>
    <x v="1063"/>
    <x v="1063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x v="78"/>
    <b v="0"/>
    <x v="16"/>
    <x v="109"/>
    <n v="500"/>
    <x v="5"/>
    <x v="16"/>
  </r>
  <r>
    <x v="1064"/>
    <x v="1064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x v="252"/>
    <b v="0"/>
    <x v="17"/>
    <x v="836"/>
    <n v="49038.5"/>
    <x v="6"/>
    <x v="17"/>
  </r>
  <r>
    <x v="1065"/>
    <x v="1065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x v="81"/>
    <b v="0"/>
    <x v="17"/>
    <x v="837"/>
    <n v="1540.5"/>
    <x v="6"/>
    <x v="17"/>
  </r>
  <r>
    <x v="1066"/>
    <x v="1066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x v="265"/>
    <b v="0"/>
    <x v="17"/>
    <x v="838"/>
    <n v="77525.5"/>
    <x v="6"/>
    <x v="17"/>
  </r>
  <r>
    <x v="1067"/>
    <x v="1067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x v="73"/>
    <b v="0"/>
    <x v="17"/>
    <x v="839"/>
    <n v="315"/>
    <x v="6"/>
    <x v="17"/>
  </r>
  <r>
    <x v="1068"/>
    <x v="1068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x v="80"/>
    <b v="0"/>
    <x v="17"/>
    <x v="840"/>
    <n v="15022.5"/>
    <x v="6"/>
    <x v="17"/>
  </r>
  <r>
    <x v="1069"/>
    <x v="1069"/>
    <s v="A run-n-gun zombie survival game where you scavenge for items to make the night a little less scary."/>
    <n v="2200"/>
    <n v="850"/>
    <x v="2"/>
    <x v="0"/>
    <x v="0"/>
    <n v="1385447459"/>
    <n v="1382679059"/>
    <b v="0"/>
    <x v="64"/>
    <b v="0"/>
    <x v="17"/>
    <x v="841"/>
    <n v="1525"/>
    <x v="6"/>
    <x v="17"/>
  </r>
  <r>
    <x v="1070"/>
    <x v="1070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x v="84"/>
    <b v="0"/>
    <x v="17"/>
    <x v="449"/>
    <n v="5035"/>
    <x v="6"/>
    <x v="17"/>
  </r>
  <r>
    <x v="1071"/>
    <x v="1071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x v="78"/>
    <b v="0"/>
    <x v="17"/>
    <x v="109"/>
    <n v="50"/>
    <x v="6"/>
    <x v="17"/>
  </r>
  <r>
    <x v="1072"/>
    <x v="1072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x v="80"/>
    <b v="0"/>
    <x v="17"/>
    <x v="842"/>
    <n v="37525.5"/>
    <x v="6"/>
    <x v="17"/>
  </r>
  <r>
    <x v="1073"/>
    <x v="1073"/>
    <s v="We want to bring our Game Rainbow Ball to the iphone and to do that we need a little help"/>
    <n v="750"/>
    <n v="10"/>
    <x v="2"/>
    <x v="0"/>
    <x v="0"/>
    <n v="1318806541"/>
    <n v="1316214541"/>
    <b v="0"/>
    <x v="29"/>
    <b v="0"/>
    <x v="17"/>
    <x v="843"/>
    <n v="380"/>
    <x v="6"/>
    <x v="17"/>
  </r>
  <r>
    <x v="1074"/>
    <x v="1074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x v="209"/>
    <b v="0"/>
    <x v="17"/>
    <x v="844"/>
    <n v="28703.5"/>
    <x v="6"/>
    <x v="17"/>
  </r>
  <r>
    <x v="1075"/>
    <x v="1075"/>
    <s v="Fully 3D, post Apocalyptic themed tower defense video game. New take on the genre."/>
    <n v="1000"/>
    <n v="45"/>
    <x v="2"/>
    <x v="0"/>
    <x v="0"/>
    <n v="1336340516"/>
    <n v="1333748516"/>
    <b v="0"/>
    <x v="83"/>
    <b v="0"/>
    <x v="17"/>
    <x v="684"/>
    <n v="522.5"/>
    <x v="6"/>
    <x v="17"/>
  </r>
  <r>
    <x v="1076"/>
    <x v="1076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x v="266"/>
    <b v="0"/>
    <x v="17"/>
    <x v="845"/>
    <n v="61037"/>
    <x v="6"/>
    <x v="17"/>
  </r>
  <r>
    <x v="1077"/>
    <x v="1077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x v="157"/>
    <b v="0"/>
    <x v="17"/>
    <x v="846"/>
    <n v="16172"/>
    <x v="6"/>
    <x v="17"/>
  </r>
  <r>
    <x v="1078"/>
    <x v="1078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x v="81"/>
    <b v="0"/>
    <x v="17"/>
    <x v="847"/>
    <n v="322.5"/>
    <x v="6"/>
    <x v="17"/>
  </r>
  <r>
    <x v="1079"/>
    <x v="1079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x v="59"/>
    <b v="0"/>
    <x v="17"/>
    <x v="848"/>
    <n v="13339"/>
    <x v="6"/>
    <x v="17"/>
  </r>
  <r>
    <x v="1080"/>
    <x v="1080"/>
    <s v="A fantasy action RPG which follows an elven ex-slave on a journey of magic, revenge, intrigue, and deceit."/>
    <n v="20000"/>
    <n v="1821"/>
    <x v="2"/>
    <x v="0"/>
    <x v="0"/>
    <n v="1399778333"/>
    <n v="1397186333"/>
    <b v="0"/>
    <x v="15"/>
    <b v="0"/>
    <x v="17"/>
    <x v="849"/>
    <n v="10910.5"/>
    <x v="6"/>
    <x v="17"/>
  </r>
  <r>
    <x v="1081"/>
    <x v="1081"/>
    <s v="Finishing your last job before you retire until a disaster strikes the cargo ship can you survive The Creature?"/>
    <n v="68000"/>
    <n v="12"/>
    <x v="2"/>
    <x v="0"/>
    <x v="0"/>
    <n v="1422483292"/>
    <n v="1419891292"/>
    <b v="0"/>
    <x v="80"/>
    <b v="0"/>
    <x v="17"/>
    <x v="850"/>
    <n v="34006"/>
    <x v="6"/>
    <x v="17"/>
  </r>
  <r>
    <x v="1082"/>
    <x v="1082"/>
    <s v="Challenge your trivia skills in this action oriented game against several opponents across time."/>
    <n v="10000"/>
    <n v="56"/>
    <x v="2"/>
    <x v="0"/>
    <x v="0"/>
    <n v="1344635088"/>
    <n v="1342043088"/>
    <b v="0"/>
    <x v="83"/>
    <b v="0"/>
    <x v="17"/>
    <x v="470"/>
    <n v="5028"/>
    <x v="6"/>
    <x v="17"/>
  </r>
  <r>
    <x v="1083"/>
    <x v="1083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x v="29"/>
    <b v="0"/>
    <x v="17"/>
    <x v="380"/>
    <n v="25205"/>
    <x v="6"/>
    <x v="17"/>
  </r>
  <r>
    <x v="1084"/>
    <x v="1084"/>
    <s v="I want to start my own channel for gaming"/>
    <n v="550"/>
    <n v="0"/>
    <x v="2"/>
    <x v="0"/>
    <x v="0"/>
    <n v="1407534804"/>
    <n v="1404942804"/>
    <b v="0"/>
    <x v="78"/>
    <b v="0"/>
    <x v="17"/>
    <x v="109"/>
    <n v="275"/>
    <x v="6"/>
    <x v="17"/>
  </r>
  <r>
    <x v="1085"/>
    <x v="1085"/>
    <s v="The new kid on the block. Re-imagining old games and creating new ones. Ship, Lazer, Rock is first."/>
    <n v="30000"/>
    <n v="1026"/>
    <x v="2"/>
    <x v="5"/>
    <x v="5"/>
    <n v="1457967975"/>
    <n v="1455379575"/>
    <b v="0"/>
    <x v="82"/>
    <b v="0"/>
    <x v="17"/>
    <x v="851"/>
    <n v="15513"/>
    <x v="6"/>
    <x v="17"/>
  </r>
  <r>
    <x v="1086"/>
    <x v="1086"/>
    <s v="Humanity's future in the Galaxy"/>
    <n v="18000"/>
    <n v="15"/>
    <x v="2"/>
    <x v="0"/>
    <x v="0"/>
    <n v="1408913291"/>
    <n v="1406321291"/>
    <b v="0"/>
    <x v="84"/>
    <b v="0"/>
    <x v="17"/>
    <x v="852"/>
    <n v="9007.5"/>
    <x v="6"/>
    <x v="17"/>
  </r>
  <r>
    <x v="1087"/>
    <x v="1087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x v="78"/>
    <b v="0"/>
    <x v="17"/>
    <x v="109"/>
    <n v="550"/>
    <x v="6"/>
    <x v="17"/>
  </r>
  <r>
    <x v="1088"/>
    <x v="1088"/>
    <s v="A fresh twist on survival games. Intense, high-stakes 30 minute rounds for up to 10 players."/>
    <n v="45000"/>
    <n v="6382.34"/>
    <x v="2"/>
    <x v="0"/>
    <x v="0"/>
    <n v="1398366667"/>
    <n v="1395774667"/>
    <b v="0"/>
    <x v="206"/>
    <b v="0"/>
    <x v="17"/>
    <x v="853"/>
    <n v="25691.17"/>
    <x v="6"/>
    <x v="17"/>
  </r>
  <r>
    <x v="1089"/>
    <x v="1089"/>
    <s v="Farabel is a single player turn-based fantasy strategy game for Mac/PC/Linux"/>
    <n v="15000"/>
    <n v="1174"/>
    <x v="2"/>
    <x v="6"/>
    <x v="3"/>
    <n v="1435293175"/>
    <n v="1432701175"/>
    <b v="0"/>
    <x v="72"/>
    <b v="0"/>
    <x v="17"/>
    <x v="854"/>
    <n v="8087"/>
    <x v="6"/>
    <x v="17"/>
  </r>
  <r>
    <x v="1090"/>
    <x v="1090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x v="29"/>
    <b v="0"/>
    <x v="17"/>
    <x v="855"/>
    <n v="6502"/>
    <x v="6"/>
    <x v="17"/>
  </r>
  <r>
    <x v="1091"/>
    <x v="1091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x v="84"/>
    <b v="0"/>
    <x v="17"/>
    <x v="856"/>
    <n v="112.5"/>
    <x v="6"/>
    <x v="17"/>
  </r>
  <r>
    <x v="1092"/>
    <x v="1092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x v="63"/>
    <b v="0"/>
    <x v="17"/>
    <x v="857"/>
    <n v="1010.5"/>
    <x v="6"/>
    <x v="17"/>
  </r>
  <r>
    <x v="1093"/>
    <x v="1093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x v="80"/>
    <b v="0"/>
    <x v="17"/>
    <x v="858"/>
    <n v="171.125"/>
    <x v="6"/>
    <x v="17"/>
  </r>
  <r>
    <x v="1094"/>
    <x v="1094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x v="74"/>
    <b v="0"/>
    <x v="17"/>
    <x v="859"/>
    <n v="10647.005000000001"/>
    <x v="6"/>
    <x v="17"/>
  </r>
  <r>
    <x v="1095"/>
    <x v="1095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x v="225"/>
    <b v="0"/>
    <x v="17"/>
    <x v="860"/>
    <n v="262587"/>
    <x v="6"/>
    <x v="17"/>
  </r>
  <r>
    <x v="1096"/>
    <x v="1096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x v="60"/>
    <b v="0"/>
    <x v="17"/>
    <x v="861"/>
    <n v="7076"/>
    <x v="6"/>
    <x v="17"/>
  </r>
  <r>
    <x v="1097"/>
    <x v="1097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x v="63"/>
    <b v="0"/>
    <x v="17"/>
    <x v="862"/>
    <n v="50023.5"/>
    <x v="6"/>
    <x v="17"/>
  </r>
  <r>
    <x v="1098"/>
    <x v="1098"/>
    <s v="Kick, Punch... Fireball is an FPS type arena game set inside the fantasy world."/>
    <n v="25000"/>
    <n v="1803"/>
    <x v="2"/>
    <x v="0"/>
    <x v="0"/>
    <n v="1397413095"/>
    <n v="1394821095"/>
    <b v="0"/>
    <x v="19"/>
    <b v="0"/>
    <x v="17"/>
    <x v="863"/>
    <n v="13401.5"/>
    <x v="6"/>
    <x v="17"/>
  </r>
  <r>
    <x v="1099"/>
    <x v="1099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x v="29"/>
    <b v="0"/>
    <x v="17"/>
    <x v="724"/>
    <n v="2512.5"/>
    <x v="6"/>
    <x v="17"/>
  </r>
  <r>
    <x v="1100"/>
    <x v="1100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x v="73"/>
    <b v="0"/>
    <x v="17"/>
    <x v="453"/>
    <n v="2050"/>
    <x v="6"/>
    <x v="17"/>
  </r>
  <r>
    <x v="1101"/>
    <x v="1101"/>
    <s v="Different strains of marijuana leafs battling to the death to see which one is the top strain."/>
    <n v="100000"/>
    <n v="41"/>
    <x v="2"/>
    <x v="0"/>
    <x v="0"/>
    <n v="1468519920"/>
    <n v="1466188338"/>
    <b v="0"/>
    <x v="79"/>
    <b v="0"/>
    <x v="17"/>
    <x v="864"/>
    <n v="50020.5"/>
    <x v="6"/>
    <x v="17"/>
  </r>
  <r>
    <x v="1102"/>
    <x v="1102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x v="54"/>
    <b v="0"/>
    <x v="17"/>
    <x v="865"/>
    <n v="4212.5"/>
    <x v="6"/>
    <x v="17"/>
  </r>
  <r>
    <x v="1103"/>
    <x v="1103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x v="41"/>
    <b v="0"/>
    <x v="17"/>
    <x v="866"/>
    <n v="7621.5"/>
    <x v="6"/>
    <x v="17"/>
  </r>
  <r>
    <x v="1104"/>
    <x v="1104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x v="77"/>
    <b v="0"/>
    <x v="17"/>
    <x v="867"/>
    <n v="31485.5"/>
    <x v="6"/>
    <x v="17"/>
  </r>
  <r>
    <x v="1105"/>
    <x v="1105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x v="9"/>
    <b v="0"/>
    <x v="17"/>
    <x v="868"/>
    <n v="450715.5"/>
    <x v="6"/>
    <x v="17"/>
  </r>
  <r>
    <x v="1106"/>
    <x v="1106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x v="63"/>
    <b v="0"/>
    <x v="17"/>
    <x v="869"/>
    <n v="282.5"/>
    <x v="6"/>
    <x v="17"/>
  </r>
  <r>
    <x v="1107"/>
    <x v="1107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x v="78"/>
    <b v="0"/>
    <x v="17"/>
    <x v="109"/>
    <n v="5000"/>
    <x v="6"/>
    <x v="17"/>
  </r>
  <r>
    <x v="1108"/>
    <x v="1108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x v="64"/>
    <b v="0"/>
    <x v="17"/>
    <x v="870"/>
    <n v="12866.25"/>
    <x v="6"/>
    <x v="17"/>
  </r>
  <r>
    <x v="1109"/>
    <x v="1109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x v="83"/>
    <b v="0"/>
    <x v="17"/>
    <x v="871"/>
    <n v="5022.5"/>
    <x v="6"/>
    <x v="17"/>
  </r>
  <r>
    <x v="1110"/>
    <x v="1110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x v="202"/>
    <b v="0"/>
    <x v="17"/>
    <x v="872"/>
    <n v="25127.5"/>
    <x v="6"/>
    <x v="17"/>
  </r>
  <r>
    <x v="1111"/>
    <x v="1111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x v="29"/>
    <b v="0"/>
    <x v="17"/>
    <x v="167"/>
    <n v="1250.5"/>
    <x v="6"/>
    <x v="17"/>
  </r>
  <r>
    <x v="1112"/>
    <x v="1112"/>
    <s v="Tarantino-esque Adventure Game on Steroids Inspired by LucasArts, Gritty Action Movies and 1940's Animation"/>
    <n v="88000"/>
    <n v="31272.92"/>
    <x v="2"/>
    <x v="0"/>
    <x v="0"/>
    <n v="1421656200"/>
    <n v="1416507211"/>
    <b v="0"/>
    <x v="267"/>
    <b v="0"/>
    <x v="17"/>
    <x v="873"/>
    <n v="59636.46"/>
    <x v="6"/>
    <x v="17"/>
  </r>
  <r>
    <x v="1113"/>
    <x v="1113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x v="29"/>
    <b v="0"/>
    <x v="17"/>
    <x v="724"/>
    <n v="502.5"/>
    <x v="6"/>
    <x v="17"/>
  </r>
  <r>
    <x v="1114"/>
    <x v="1114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x v="83"/>
    <b v="0"/>
    <x v="17"/>
    <x v="874"/>
    <n v="3005"/>
    <x v="6"/>
    <x v="17"/>
  </r>
  <r>
    <x v="1115"/>
    <x v="1115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x v="80"/>
    <b v="0"/>
    <x v="17"/>
    <x v="875"/>
    <n v="20026.5"/>
    <x v="6"/>
    <x v="17"/>
  </r>
  <r>
    <x v="1116"/>
    <x v="1116"/>
    <s v="A medieval, post apocolyptic, Online, MMORPG. Class morphing, character customization game."/>
    <n v="500000"/>
    <n v="178.52"/>
    <x v="2"/>
    <x v="0"/>
    <x v="0"/>
    <n v="1339273208"/>
    <n v="1334089208"/>
    <b v="0"/>
    <x v="73"/>
    <b v="0"/>
    <x v="17"/>
    <x v="876"/>
    <n v="250089.26"/>
    <x v="6"/>
    <x v="17"/>
  </r>
  <r>
    <x v="1117"/>
    <x v="1117"/>
    <s v="Experience the Medieval in your own village. Increase your village into a city and walk through the streets."/>
    <n v="1000"/>
    <n v="83"/>
    <x v="2"/>
    <x v="12"/>
    <x v="3"/>
    <n v="1451053313"/>
    <n v="1448461313"/>
    <b v="0"/>
    <x v="22"/>
    <b v="0"/>
    <x v="17"/>
    <x v="877"/>
    <n v="541.5"/>
    <x v="6"/>
    <x v="17"/>
  </r>
  <r>
    <x v="1118"/>
    <x v="1118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x v="83"/>
    <b v="0"/>
    <x v="17"/>
    <x v="878"/>
    <n v="2304.5"/>
    <x v="6"/>
    <x v="17"/>
  </r>
  <r>
    <x v="1119"/>
    <x v="1119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x v="29"/>
    <b v="0"/>
    <x v="17"/>
    <x v="879"/>
    <n v="1052.5"/>
    <x v="6"/>
    <x v="17"/>
  </r>
  <r>
    <x v="1120"/>
    <x v="1120"/>
    <s v="Planet Ninjahwah is a highly anticipated futuristic action adventure game that will blow your mind!!"/>
    <n v="25000"/>
    <n v="0"/>
    <x v="2"/>
    <x v="0"/>
    <x v="0"/>
    <n v="1319835400"/>
    <n v="1315947400"/>
    <b v="0"/>
    <x v="78"/>
    <b v="0"/>
    <x v="17"/>
    <x v="109"/>
    <n v="12500"/>
    <x v="6"/>
    <x v="17"/>
  </r>
  <r>
    <x v="1121"/>
    <x v="1121"/>
    <s v="An action packed, side scrolling, platform jumping, laser shooting ADVENTURE that will be fun for everyone."/>
    <n v="250000"/>
    <n v="29"/>
    <x v="2"/>
    <x v="0"/>
    <x v="0"/>
    <n v="1457904316"/>
    <n v="1455315916"/>
    <b v="0"/>
    <x v="81"/>
    <b v="0"/>
    <x v="17"/>
    <x v="880"/>
    <n v="125014.5"/>
    <x v="6"/>
    <x v="17"/>
  </r>
  <r>
    <x v="1122"/>
    <x v="1122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x v="78"/>
    <b v="0"/>
    <x v="17"/>
    <x v="109"/>
    <n v="1600"/>
    <x v="6"/>
    <x v="17"/>
  </r>
  <r>
    <x v="1123"/>
    <x v="1123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x v="83"/>
    <b v="0"/>
    <x v="17"/>
    <x v="881"/>
    <n v="2505.5"/>
    <x v="6"/>
    <x v="17"/>
  </r>
  <r>
    <x v="1124"/>
    <x v="1124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x v="63"/>
    <b v="0"/>
    <x v="18"/>
    <x v="882"/>
    <n v="45212.5"/>
    <x v="6"/>
    <x v="18"/>
  </r>
  <r>
    <x v="1125"/>
    <x v="1125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x v="78"/>
    <b v="0"/>
    <x v="18"/>
    <x v="109"/>
    <n v="1500"/>
    <x v="6"/>
    <x v="18"/>
  </r>
  <r>
    <x v="1126"/>
    <x v="1126"/>
    <s v="Imagine a science class where the teacher walks in a says &quot;Take out your cell phone and play a game.&quot;"/>
    <n v="2000"/>
    <n v="10"/>
    <x v="2"/>
    <x v="0"/>
    <x v="0"/>
    <n v="1468482694"/>
    <n v="1465890694"/>
    <b v="0"/>
    <x v="84"/>
    <b v="0"/>
    <x v="18"/>
    <x v="724"/>
    <n v="1005"/>
    <x v="6"/>
    <x v="18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x v="23"/>
    <b v="0"/>
    <x v="18"/>
    <x v="883"/>
    <n v="17792.5"/>
    <x v="6"/>
    <x v="18"/>
  </r>
  <r>
    <x v="1128"/>
    <x v="1128"/>
    <s v="#havingfunFTW"/>
    <n v="1000"/>
    <n v="1"/>
    <x v="2"/>
    <x v="1"/>
    <x v="1"/>
    <n v="1407425717"/>
    <n v="1404833717"/>
    <b v="0"/>
    <x v="29"/>
    <b v="0"/>
    <x v="18"/>
    <x v="370"/>
    <n v="500.5"/>
    <x v="6"/>
    <x v="18"/>
  </r>
  <r>
    <x v="1129"/>
    <x v="1129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x v="84"/>
    <b v="0"/>
    <x v="18"/>
    <x v="884"/>
    <n v="10010.5"/>
    <x v="6"/>
    <x v="18"/>
  </r>
  <r>
    <x v="1130"/>
    <x v="1130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x v="83"/>
    <b v="0"/>
    <x v="18"/>
    <x v="881"/>
    <n v="2505.5"/>
    <x v="6"/>
    <x v="18"/>
  </r>
  <r>
    <x v="1131"/>
    <x v="1131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x v="78"/>
    <b v="0"/>
    <x v="18"/>
    <x v="109"/>
    <n v="20000"/>
    <x v="6"/>
    <x v="18"/>
  </r>
  <r>
    <x v="1132"/>
    <x v="1132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x v="62"/>
    <b v="0"/>
    <x v="18"/>
    <x v="885"/>
    <n v="5719"/>
    <x v="6"/>
    <x v="18"/>
  </r>
  <r>
    <x v="1133"/>
    <x v="1133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x v="29"/>
    <b v="0"/>
    <x v="18"/>
    <x v="886"/>
    <n v="1510"/>
    <x v="6"/>
    <x v="18"/>
  </r>
  <r>
    <x v="1134"/>
    <x v="1134"/>
    <s v="We are creating a new Mario Bro's style game called KFK:Original. It's challenging, fun and totally awesome!!!"/>
    <n v="25000"/>
    <n v="1"/>
    <x v="2"/>
    <x v="2"/>
    <x v="2"/>
    <n v="1417235580"/>
    <n v="1416034228"/>
    <b v="0"/>
    <x v="29"/>
    <b v="0"/>
    <x v="18"/>
    <x v="524"/>
    <n v="12500.5"/>
    <x v="6"/>
    <x v="18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x v="29"/>
    <b v="0"/>
    <x v="18"/>
    <x v="152"/>
    <n v="525"/>
    <x v="6"/>
    <x v="18"/>
  </r>
  <r>
    <x v="1136"/>
    <x v="1136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x v="79"/>
    <b v="0"/>
    <x v="18"/>
    <x v="887"/>
    <n v="2230"/>
    <x v="6"/>
    <x v="18"/>
  </r>
  <r>
    <x v="1137"/>
    <x v="1137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x v="70"/>
    <b v="0"/>
    <x v="18"/>
    <x v="888"/>
    <n v="17437.5"/>
    <x v="6"/>
    <x v="18"/>
  </r>
  <r>
    <x v="1138"/>
    <x v="1138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x v="80"/>
    <b v="0"/>
    <x v="18"/>
    <x v="737"/>
    <n v="17562.5"/>
    <x v="6"/>
    <x v="18"/>
  </r>
  <r>
    <x v="1139"/>
    <x v="1139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x v="29"/>
    <b v="0"/>
    <x v="18"/>
    <x v="889"/>
    <n v="4002.5"/>
    <x v="6"/>
    <x v="18"/>
  </r>
  <r>
    <x v="1140"/>
    <x v="1140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x v="78"/>
    <b v="0"/>
    <x v="18"/>
    <x v="109"/>
    <n v="2500"/>
    <x v="6"/>
    <x v="18"/>
  </r>
  <r>
    <x v="1141"/>
    <x v="1141"/>
    <s v="I think this will be a great game!"/>
    <n v="500"/>
    <n v="0"/>
    <x v="2"/>
    <x v="12"/>
    <x v="3"/>
    <n v="1436460450"/>
    <n v="1433868450"/>
    <b v="0"/>
    <x v="78"/>
    <b v="0"/>
    <x v="18"/>
    <x v="109"/>
    <n v="250"/>
    <x v="6"/>
    <x v="18"/>
  </r>
  <r>
    <x v="1142"/>
    <x v="1142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x v="78"/>
    <b v="0"/>
    <x v="18"/>
    <x v="109"/>
    <n v="2000"/>
    <x v="6"/>
    <x v="18"/>
  </r>
  <r>
    <x v="1143"/>
    <x v="1143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x v="22"/>
    <b v="0"/>
    <x v="18"/>
    <x v="890"/>
    <n v="22593"/>
    <x v="6"/>
    <x v="18"/>
  </r>
  <r>
    <x v="1144"/>
    <x v="1144"/>
    <s v="We need your help to finish our food truck. We are building a BBQ Food Truck to serve competition style BBQ."/>
    <n v="9300"/>
    <n v="0"/>
    <x v="2"/>
    <x v="0"/>
    <x v="0"/>
    <n v="1430281320"/>
    <n v="1427689320"/>
    <b v="0"/>
    <x v="78"/>
    <b v="0"/>
    <x v="19"/>
    <x v="109"/>
    <n v="4650"/>
    <x v="7"/>
    <x v="19"/>
  </r>
  <r>
    <x v="1145"/>
    <x v="1145"/>
    <s v="Emphasizing locally and responsibly raised ingredients, serving delicious food! I need your help."/>
    <n v="80000"/>
    <n v="100"/>
    <x v="2"/>
    <x v="0"/>
    <x v="0"/>
    <n v="1412272592"/>
    <n v="1407088592"/>
    <b v="0"/>
    <x v="29"/>
    <b v="0"/>
    <x v="19"/>
    <x v="415"/>
    <n v="40050"/>
    <x v="7"/>
    <x v="19"/>
  </r>
  <r>
    <x v="1146"/>
    <x v="1146"/>
    <s v="Bringing the flavor of competition BBQ to small town Auburn with the ease of a big city food truck."/>
    <n v="6000"/>
    <n v="530"/>
    <x v="2"/>
    <x v="0"/>
    <x v="0"/>
    <n v="1399071173"/>
    <n v="1395787973"/>
    <b v="0"/>
    <x v="8"/>
    <b v="0"/>
    <x v="19"/>
    <x v="891"/>
    <n v="3265"/>
    <x v="7"/>
    <x v="19"/>
  </r>
  <r>
    <x v="1147"/>
    <x v="1147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x v="78"/>
    <b v="0"/>
    <x v="19"/>
    <x v="109"/>
    <n v="12500"/>
    <x v="7"/>
    <x v="19"/>
  </r>
  <r>
    <x v="1148"/>
    <x v="1148"/>
    <s v="New local (Louisville, KY.) food truck with a refreshing spin on rolling kitchens."/>
    <n v="15000"/>
    <n v="73"/>
    <x v="2"/>
    <x v="0"/>
    <x v="0"/>
    <n v="1480568781"/>
    <n v="1477973181"/>
    <b v="0"/>
    <x v="83"/>
    <b v="0"/>
    <x v="19"/>
    <x v="892"/>
    <n v="7536.5"/>
    <x v="7"/>
    <x v="19"/>
  </r>
  <r>
    <x v="1149"/>
    <x v="1149"/>
    <s v="Bringing culturally diverse Floridian cuisine to the people!"/>
    <n v="50000"/>
    <n v="75"/>
    <x v="2"/>
    <x v="0"/>
    <x v="0"/>
    <n v="1466096566"/>
    <n v="1463504566"/>
    <b v="0"/>
    <x v="84"/>
    <b v="0"/>
    <x v="19"/>
    <x v="840"/>
    <n v="25037.5"/>
    <x v="7"/>
    <x v="19"/>
  </r>
  <r>
    <x v="1150"/>
    <x v="1150"/>
    <s v="Bringing delicious authentic and fusion Taiwanese Food to the West Coast."/>
    <n v="2500"/>
    <n v="252"/>
    <x v="2"/>
    <x v="0"/>
    <x v="0"/>
    <n v="1452293675"/>
    <n v="1447109675"/>
    <b v="0"/>
    <x v="79"/>
    <b v="0"/>
    <x v="19"/>
    <x v="893"/>
    <n v="1376"/>
    <x v="7"/>
    <x v="19"/>
  </r>
  <r>
    <x v="1151"/>
    <x v="1151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x v="78"/>
    <b v="0"/>
    <x v="19"/>
    <x v="109"/>
    <n v="12500"/>
    <x v="7"/>
    <x v="19"/>
  </r>
  <r>
    <x v="1152"/>
    <x v="1152"/>
    <s v="Peruvian food truck with an LA twist."/>
    <n v="16000"/>
    <n v="911"/>
    <x v="2"/>
    <x v="0"/>
    <x v="0"/>
    <n v="1431709312"/>
    <n v="1429117312"/>
    <b v="0"/>
    <x v="41"/>
    <b v="0"/>
    <x v="19"/>
    <x v="894"/>
    <n v="8455.5"/>
    <x v="7"/>
    <x v="19"/>
  </r>
  <r>
    <x v="1153"/>
    <x v="1153"/>
    <s v="A mobile concession trailer for snow cones, ice cream, smoothies and more"/>
    <n v="8000"/>
    <n v="50"/>
    <x v="2"/>
    <x v="0"/>
    <x v="0"/>
    <n v="1434647305"/>
    <n v="1432055305"/>
    <b v="0"/>
    <x v="29"/>
    <b v="0"/>
    <x v="19"/>
    <x v="895"/>
    <n v="4025"/>
    <x v="7"/>
    <x v="19"/>
  </r>
  <r>
    <x v="1154"/>
    <x v="1154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x v="83"/>
    <b v="0"/>
    <x v="19"/>
    <x v="896"/>
    <n v="2662.5"/>
    <x v="7"/>
    <x v="19"/>
  </r>
  <r>
    <x v="1155"/>
    <x v="1155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x v="22"/>
    <b v="0"/>
    <x v="19"/>
    <x v="897"/>
    <n v="12594"/>
    <x v="7"/>
    <x v="19"/>
  </r>
  <r>
    <x v="1156"/>
    <x v="1156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x v="78"/>
    <b v="0"/>
    <x v="19"/>
    <x v="109"/>
    <n v="3250"/>
    <x v="7"/>
    <x v="19"/>
  </r>
  <r>
    <x v="1157"/>
    <x v="1157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x v="83"/>
    <b v="0"/>
    <x v="19"/>
    <x v="898"/>
    <n v="5075.5"/>
    <x v="7"/>
    <x v="19"/>
  </r>
  <r>
    <x v="1158"/>
    <x v="1158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x v="83"/>
    <b v="0"/>
    <x v="19"/>
    <x v="899"/>
    <n v="3767.5"/>
    <x v="7"/>
    <x v="19"/>
  </r>
  <r>
    <x v="1159"/>
    <x v="1159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x v="78"/>
    <b v="0"/>
    <x v="19"/>
    <x v="109"/>
    <n v="3375"/>
    <x v="7"/>
    <x v="19"/>
  </r>
  <r>
    <x v="1160"/>
    <x v="1160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x v="10"/>
    <b v="0"/>
    <x v="19"/>
    <x v="900"/>
    <n v="15577.5"/>
    <x v="7"/>
    <x v="19"/>
  </r>
  <r>
    <x v="1161"/>
    <x v="1161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x v="78"/>
    <b v="0"/>
    <x v="19"/>
    <x v="109"/>
    <n v="9000"/>
    <x v="7"/>
    <x v="19"/>
  </r>
  <r>
    <x v="1162"/>
    <x v="1162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x v="84"/>
    <b v="0"/>
    <x v="19"/>
    <x v="901"/>
    <n v="30017.5"/>
    <x v="7"/>
    <x v="19"/>
  </r>
  <r>
    <x v="1163"/>
    <x v="1163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x v="78"/>
    <b v="0"/>
    <x v="19"/>
    <x v="109"/>
    <n v="2600"/>
    <x v="7"/>
    <x v="19"/>
  </r>
  <r>
    <x v="1164"/>
    <x v="1164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x v="78"/>
    <b v="0"/>
    <x v="19"/>
    <x v="109"/>
    <n v="5000"/>
    <x v="7"/>
    <x v="19"/>
  </r>
  <r>
    <x v="1165"/>
    <x v="1165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x v="20"/>
    <b v="0"/>
    <x v="19"/>
    <x v="902"/>
    <n v="6035.25"/>
    <x v="7"/>
    <x v="19"/>
  </r>
  <r>
    <x v="1166"/>
    <x v="1166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x v="22"/>
    <b v="0"/>
    <x v="19"/>
    <x v="903"/>
    <n v="8935.5"/>
    <x v="7"/>
    <x v="19"/>
  </r>
  <r>
    <x v="1167"/>
    <x v="1167"/>
    <s v="A mobile food truck serving up a Latino-inspired fusion cuisine using fresh, local, &amp; organic ingredients!"/>
    <n v="60000"/>
    <n v="979"/>
    <x v="2"/>
    <x v="0"/>
    <x v="0"/>
    <n v="1410543495"/>
    <n v="1407865095"/>
    <b v="0"/>
    <x v="38"/>
    <b v="0"/>
    <x v="19"/>
    <x v="904"/>
    <n v="30489.5"/>
    <x v="7"/>
    <x v="19"/>
  </r>
  <r>
    <x v="1168"/>
    <x v="1168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x v="83"/>
    <b v="0"/>
    <x v="19"/>
    <x v="905"/>
    <n v="9510"/>
    <x v="7"/>
    <x v="19"/>
  </r>
  <r>
    <x v="1169"/>
    <x v="1169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x v="83"/>
    <b v="0"/>
    <x v="19"/>
    <x v="906"/>
    <n v="5008.5"/>
    <x v="7"/>
    <x v="19"/>
  </r>
  <r>
    <x v="1170"/>
    <x v="1170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x v="84"/>
    <b v="0"/>
    <x v="19"/>
    <x v="177"/>
    <n v="12550"/>
    <x v="7"/>
    <x v="19"/>
  </r>
  <r>
    <x v="1171"/>
    <x v="1171"/>
    <s v="Tulsa's first true biodiesel, alternative energy powered food truck! Oh yeah, and delicious food!"/>
    <n v="25000"/>
    <n v="25"/>
    <x v="2"/>
    <x v="0"/>
    <x v="0"/>
    <n v="1415909927"/>
    <n v="1414351127"/>
    <b v="0"/>
    <x v="29"/>
    <b v="0"/>
    <x v="19"/>
    <x v="370"/>
    <n v="12512.5"/>
    <x v="7"/>
    <x v="19"/>
  </r>
  <r>
    <x v="1172"/>
    <x v="1172"/>
    <s v="Bringing YOUR favorite dog recipes to the streets."/>
    <n v="9000"/>
    <n v="0"/>
    <x v="2"/>
    <x v="0"/>
    <x v="0"/>
    <n v="1408551752"/>
    <n v="1405959752"/>
    <b v="0"/>
    <x v="78"/>
    <b v="0"/>
    <x v="19"/>
    <x v="109"/>
    <n v="4500"/>
    <x v="7"/>
    <x v="19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x v="29"/>
    <b v="0"/>
    <x v="19"/>
    <x v="907"/>
    <n v="62515"/>
    <x v="7"/>
    <x v="19"/>
  </r>
  <r>
    <x v="1174"/>
    <x v="1174"/>
    <s v="Help me purchase a parking space to be the Burro's permanant home, I need your help to raise $15,000!"/>
    <n v="15000"/>
    <n v="886"/>
    <x v="2"/>
    <x v="0"/>
    <x v="0"/>
    <n v="1462738327"/>
    <n v="1460146327"/>
    <b v="0"/>
    <x v="10"/>
    <b v="0"/>
    <x v="19"/>
    <x v="908"/>
    <n v="7943"/>
    <x v="7"/>
    <x v="19"/>
  </r>
  <r>
    <x v="1175"/>
    <x v="1175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x v="82"/>
    <b v="0"/>
    <x v="19"/>
    <x v="909"/>
    <n v="10292.5"/>
    <x v="7"/>
    <x v="19"/>
  </r>
  <r>
    <x v="1176"/>
    <x v="1176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x v="29"/>
    <b v="0"/>
    <x v="19"/>
    <x v="910"/>
    <n v="87505"/>
    <x v="7"/>
    <x v="19"/>
  </r>
  <r>
    <x v="1177"/>
    <x v="1177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x v="78"/>
    <b v="0"/>
    <x v="19"/>
    <x v="109"/>
    <n v="3000"/>
    <x v="7"/>
    <x v="19"/>
  </r>
  <r>
    <x v="1178"/>
    <x v="1178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x v="29"/>
    <b v="0"/>
    <x v="19"/>
    <x v="440"/>
    <n v="37502.5"/>
    <x v="7"/>
    <x v="19"/>
  </r>
  <r>
    <x v="1179"/>
    <x v="1179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x v="81"/>
    <b v="0"/>
    <x v="19"/>
    <x v="911"/>
    <n v="31600"/>
    <x v="7"/>
    <x v="19"/>
  </r>
  <r>
    <x v="1180"/>
    <x v="1180"/>
    <s v="We would like to start a military-themed food truck to serve the Battle Creek/Kalamazoo area."/>
    <n v="50000"/>
    <n v="5875"/>
    <x v="2"/>
    <x v="0"/>
    <x v="0"/>
    <n v="1403983314"/>
    <n v="1400786514"/>
    <b v="0"/>
    <x v="268"/>
    <b v="0"/>
    <x v="19"/>
    <x v="912"/>
    <n v="27937.5"/>
    <x v="7"/>
    <x v="19"/>
  </r>
  <r>
    <x v="1181"/>
    <x v="1181"/>
    <s v="Bringing the best tacos to the streets of Chicago!"/>
    <n v="50000"/>
    <n v="4"/>
    <x v="2"/>
    <x v="0"/>
    <x v="0"/>
    <n v="1425197321"/>
    <n v="1422605321"/>
    <b v="0"/>
    <x v="83"/>
    <b v="0"/>
    <x v="19"/>
    <x v="168"/>
    <n v="25002"/>
    <x v="7"/>
    <x v="19"/>
  </r>
  <r>
    <x v="1182"/>
    <x v="1182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x v="80"/>
    <b v="0"/>
    <x v="19"/>
    <x v="913"/>
    <n v="521"/>
    <x v="7"/>
    <x v="19"/>
  </r>
  <r>
    <x v="1183"/>
    <x v="1183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x v="83"/>
    <b v="0"/>
    <x v="19"/>
    <x v="914"/>
    <n v="1300"/>
    <x v="7"/>
    <x v="19"/>
  </r>
  <r>
    <x v="1184"/>
    <x v="1184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x v="269"/>
    <b v="1"/>
    <x v="20"/>
    <x v="915"/>
    <n v="22543"/>
    <x v="8"/>
    <x v="20"/>
  </r>
  <r>
    <x v="1185"/>
    <x v="1185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x v="112"/>
    <b v="1"/>
    <x v="20"/>
    <x v="916"/>
    <n v="12840"/>
    <x v="8"/>
    <x v="20"/>
  </r>
  <r>
    <x v="1186"/>
    <x v="1186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x v="252"/>
    <b v="1"/>
    <x v="20"/>
    <x v="589"/>
    <n v="7752.5"/>
    <x v="8"/>
    <x v="20"/>
  </r>
  <r>
    <x v="1187"/>
    <x v="1187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x v="16"/>
    <b v="1"/>
    <x v="20"/>
    <x v="917"/>
    <n v="8930.5"/>
    <x v="8"/>
    <x v="20"/>
  </r>
  <r>
    <x v="1188"/>
    <x v="1188"/>
    <s v="A photobook of young dancers and their inspiring stories, photographed in beautiful and unique locations."/>
    <n v="2000"/>
    <n v="3211"/>
    <x v="0"/>
    <x v="5"/>
    <x v="5"/>
    <n v="1482943740"/>
    <n v="1481129340"/>
    <b v="0"/>
    <x v="268"/>
    <b v="1"/>
    <x v="20"/>
    <x v="918"/>
    <n v="2605.5"/>
    <x v="8"/>
    <x v="20"/>
  </r>
  <r>
    <x v="1189"/>
    <x v="1189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x v="48"/>
    <b v="1"/>
    <x v="20"/>
    <x v="919"/>
    <n v="9350"/>
    <x v="8"/>
    <x v="20"/>
  </r>
  <r>
    <x v="1190"/>
    <x v="1190"/>
    <s v="A pairing of self portraiture and writing to shed light on the reality of life with chronic illness."/>
    <n v="500"/>
    <n v="675"/>
    <x v="0"/>
    <x v="0"/>
    <x v="0"/>
    <n v="1409500725"/>
    <n v="1406908725"/>
    <b v="0"/>
    <x v="62"/>
    <b v="1"/>
    <x v="20"/>
    <x v="920"/>
    <n v="587.5"/>
    <x v="8"/>
    <x v="20"/>
  </r>
  <r>
    <x v="1191"/>
    <x v="1191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x v="51"/>
    <b v="1"/>
    <x v="20"/>
    <x v="921"/>
    <n v="2822.5"/>
    <x v="8"/>
    <x v="20"/>
  </r>
  <r>
    <x v="1192"/>
    <x v="1192"/>
    <s v="A macro landscape photography art book &amp; limited edition prints. A Make 100 project."/>
    <n v="100"/>
    <n v="290"/>
    <x v="0"/>
    <x v="1"/>
    <x v="1"/>
    <n v="1486814978"/>
    <n v="1484222978"/>
    <b v="0"/>
    <x v="41"/>
    <b v="1"/>
    <x v="20"/>
    <x v="922"/>
    <n v="195"/>
    <x v="8"/>
    <x v="20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x v="270"/>
    <b v="1"/>
    <x v="20"/>
    <x v="923"/>
    <n v="21415.5"/>
    <x v="8"/>
    <x v="20"/>
  </r>
  <r>
    <x v="1194"/>
    <x v="1194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x v="271"/>
    <b v="1"/>
    <x v="20"/>
    <x v="924"/>
    <n v="26390"/>
    <x v="8"/>
    <x v="20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x v="203"/>
    <b v="1"/>
    <x v="20"/>
    <x v="920"/>
    <n v="11750"/>
    <x v="8"/>
    <x v="20"/>
  </r>
  <r>
    <x v="1196"/>
    <x v="1196"/>
    <s v="A book of male nudes photographed on location in Ibiza over the last 4 years."/>
    <n v="14500"/>
    <n v="39137"/>
    <x v="0"/>
    <x v="1"/>
    <x v="1"/>
    <n v="1450467539"/>
    <n v="1447875539"/>
    <b v="0"/>
    <x v="272"/>
    <b v="1"/>
    <x v="20"/>
    <x v="925"/>
    <n v="26818.5"/>
    <x v="8"/>
    <x v="20"/>
  </r>
  <r>
    <x v="1197"/>
    <x v="1197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x v="100"/>
    <b v="1"/>
    <x v="20"/>
    <x v="926"/>
    <n v="26497"/>
    <x v="8"/>
    <x v="20"/>
  </r>
  <r>
    <x v="1198"/>
    <x v="1198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x v="157"/>
    <b v="1"/>
    <x v="20"/>
    <x v="927"/>
    <n v="6310.5"/>
    <x v="8"/>
    <x v="20"/>
  </r>
  <r>
    <x v="1199"/>
    <x v="1199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x v="82"/>
    <b v="1"/>
    <x v="20"/>
    <x v="928"/>
    <n v="2675.5"/>
    <x v="8"/>
    <x v="20"/>
  </r>
  <r>
    <x v="1200"/>
    <x v="1200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x v="273"/>
    <b v="1"/>
    <x v="20"/>
    <x v="929"/>
    <n v="5414.5"/>
    <x v="8"/>
    <x v="20"/>
  </r>
  <r>
    <x v="1201"/>
    <x v="1201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x v="112"/>
    <b v="1"/>
    <x v="20"/>
    <x v="930"/>
    <n v="6073.1350000000002"/>
    <x v="8"/>
    <x v="20"/>
  </r>
  <r>
    <x v="1202"/>
    <x v="1202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x v="197"/>
    <b v="1"/>
    <x v="20"/>
    <x v="931"/>
    <n v="37405.5"/>
    <x v="8"/>
    <x v="20"/>
  </r>
  <r>
    <x v="1203"/>
    <x v="1203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x v="21"/>
    <b v="1"/>
    <x v="20"/>
    <x v="932"/>
    <n v="16500"/>
    <x v="8"/>
    <x v="20"/>
  </r>
  <r>
    <x v="1204"/>
    <x v="1204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x v="7"/>
    <b v="1"/>
    <x v="20"/>
    <x v="933"/>
    <n v="13191.5"/>
    <x v="8"/>
    <x v="20"/>
  </r>
  <r>
    <x v="1205"/>
    <x v="1205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x v="95"/>
    <b v="1"/>
    <x v="20"/>
    <x v="934"/>
    <n v="13056"/>
    <x v="8"/>
    <x v="20"/>
  </r>
  <r>
    <x v="1206"/>
    <x v="1206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x v="58"/>
    <b v="1"/>
    <x v="20"/>
    <x v="935"/>
    <n v="967.5"/>
    <x v="8"/>
    <x v="20"/>
  </r>
  <r>
    <x v="1207"/>
    <x v="1207"/>
    <s v="A humanistic photo book about ancestral &amp; post-modern Italy."/>
    <n v="16700"/>
    <n v="17396"/>
    <x v="0"/>
    <x v="13"/>
    <x v="3"/>
    <n v="1459418400"/>
    <n v="1456827573"/>
    <b v="0"/>
    <x v="261"/>
    <b v="1"/>
    <x v="20"/>
    <x v="936"/>
    <n v="17048"/>
    <x v="8"/>
    <x v="20"/>
  </r>
  <r>
    <x v="1208"/>
    <x v="1208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x v="11"/>
    <b v="1"/>
    <x v="20"/>
    <x v="937"/>
    <n v="12765"/>
    <x v="8"/>
    <x v="20"/>
  </r>
  <r>
    <x v="1209"/>
    <x v="1209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x v="67"/>
    <b v="1"/>
    <x v="20"/>
    <x v="938"/>
    <n v="6180"/>
    <x v="8"/>
    <x v="20"/>
  </r>
  <r>
    <x v="1210"/>
    <x v="1210"/>
    <s v="En fotobok om livet i det enda andra GÃ¶teborg i vÃ¤rlden"/>
    <n v="20000"/>
    <n v="50863"/>
    <x v="0"/>
    <x v="11"/>
    <x v="9"/>
    <n v="1433106000"/>
    <n v="1431124572"/>
    <b v="0"/>
    <x v="273"/>
    <b v="1"/>
    <x v="20"/>
    <x v="939"/>
    <n v="35431.5"/>
    <x v="8"/>
    <x v="20"/>
  </r>
  <r>
    <x v="1211"/>
    <x v="1211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x v="79"/>
    <b v="1"/>
    <x v="20"/>
    <x v="940"/>
    <n v="1005.5"/>
    <x v="8"/>
    <x v="20"/>
  </r>
  <r>
    <x v="1212"/>
    <x v="1212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x v="183"/>
    <b v="1"/>
    <x v="20"/>
    <x v="941"/>
    <n v="2863"/>
    <x v="8"/>
    <x v="20"/>
  </r>
  <r>
    <x v="1213"/>
    <x v="1213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x v="52"/>
    <b v="1"/>
    <x v="20"/>
    <x v="942"/>
    <n v="6572.5"/>
    <x v="8"/>
    <x v="20"/>
  </r>
  <r>
    <x v="1214"/>
    <x v="1214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x v="20"/>
    <b v="1"/>
    <x v="20"/>
    <x v="943"/>
    <n v="2318"/>
    <x v="8"/>
    <x v="20"/>
  </r>
  <r>
    <x v="1215"/>
    <x v="1215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x v="274"/>
    <b v="1"/>
    <x v="20"/>
    <x v="944"/>
    <n v="22152.005000000001"/>
    <x v="8"/>
    <x v="20"/>
  </r>
  <r>
    <x v="1216"/>
    <x v="1216"/>
    <s v="A fine art photography book taking a new look at the art of bonsai."/>
    <n v="14000"/>
    <n v="20398"/>
    <x v="0"/>
    <x v="0"/>
    <x v="0"/>
    <n v="1443826980"/>
    <n v="1441032457"/>
    <b v="0"/>
    <x v="147"/>
    <b v="1"/>
    <x v="20"/>
    <x v="945"/>
    <n v="17199"/>
    <x v="8"/>
    <x v="20"/>
  </r>
  <r>
    <x v="1217"/>
    <x v="1217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x v="275"/>
    <b v="1"/>
    <x v="20"/>
    <x v="946"/>
    <n v="26844.5"/>
    <x v="8"/>
    <x v="20"/>
  </r>
  <r>
    <x v="1218"/>
    <x v="1218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x v="30"/>
    <b v="1"/>
    <x v="20"/>
    <x v="947"/>
    <n v="12252.5"/>
    <x v="8"/>
    <x v="20"/>
  </r>
  <r>
    <x v="1219"/>
    <x v="1219"/>
    <s v="The Box is a fine art book of Ron Amato's innovative and seductive photography project."/>
    <n v="16350"/>
    <n v="26024"/>
    <x v="0"/>
    <x v="0"/>
    <x v="0"/>
    <n v="1476961513"/>
    <n v="1474369513"/>
    <b v="0"/>
    <x v="35"/>
    <b v="1"/>
    <x v="20"/>
    <x v="948"/>
    <n v="21187"/>
    <x v="8"/>
    <x v="20"/>
  </r>
  <r>
    <x v="1220"/>
    <x v="1220"/>
    <s v="A beautiful photo art book of portraits and conversations with people that may expand your idea of gender."/>
    <n v="15000"/>
    <n v="15565"/>
    <x v="0"/>
    <x v="12"/>
    <x v="3"/>
    <n v="1440515112"/>
    <n v="1437923112"/>
    <b v="0"/>
    <x v="205"/>
    <b v="1"/>
    <x v="20"/>
    <x v="949"/>
    <n v="15282.5"/>
    <x v="8"/>
    <x v="20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x v="273"/>
    <b v="1"/>
    <x v="20"/>
    <x v="950"/>
    <n v="2325.5050000000001"/>
    <x v="8"/>
    <x v="20"/>
  </r>
  <r>
    <x v="1222"/>
    <x v="1222"/>
    <s v="Project Pilgrim is my effort to work towards normalizing mental health."/>
    <n v="4000"/>
    <n v="11215"/>
    <x v="0"/>
    <x v="5"/>
    <x v="5"/>
    <n v="1459483200"/>
    <n v="1456852647"/>
    <b v="0"/>
    <x v="276"/>
    <b v="1"/>
    <x v="20"/>
    <x v="951"/>
    <n v="7607.5"/>
    <x v="8"/>
    <x v="20"/>
  </r>
  <r>
    <x v="1223"/>
    <x v="1223"/>
    <s v="A photography book focusing on the people rather than the nature at Yosemite National Park."/>
    <n v="19800"/>
    <n v="22197"/>
    <x v="0"/>
    <x v="0"/>
    <x v="0"/>
    <n v="1478754909"/>
    <n v="1476159309"/>
    <b v="0"/>
    <x v="277"/>
    <b v="1"/>
    <x v="20"/>
    <x v="952"/>
    <n v="20998.5"/>
    <x v="8"/>
    <x v="20"/>
  </r>
  <r>
    <x v="1224"/>
    <x v="1224"/>
    <s v="Modern Celtic influenced CD.  Help me finish what I started before the stroke."/>
    <n v="15000"/>
    <n v="1060"/>
    <x v="1"/>
    <x v="0"/>
    <x v="0"/>
    <n v="1402060302"/>
    <n v="1396876302"/>
    <b v="0"/>
    <x v="59"/>
    <b v="0"/>
    <x v="21"/>
    <x v="953"/>
    <n v="8030"/>
    <x v="4"/>
    <x v="21"/>
  </r>
  <r>
    <x v="1225"/>
    <x v="1225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x v="83"/>
    <b v="0"/>
    <x v="21"/>
    <x v="954"/>
    <n v="1566"/>
    <x v="4"/>
    <x v="21"/>
  </r>
  <r>
    <x v="1226"/>
    <x v="1226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x v="244"/>
    <b v="0"/>
    <x v="21"/>
    <x v="955"/>
    <n v="25968.5"/>
    <x v="4"/>
    <x v="21"/>
  </r>
  <r>
    <x v="1227"/>
    <x v="1227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x v="78"/>
    <b v="0"/>
    <x v="21"/>
    <x v="109"/>
    <n v="1000"/>
    <x v="4"/>
    <x v="21"/>
  </r>
  <r>
    <x v="1228"/>
    <x v="1228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x v="54"/>
    <b v="0"/>
    <x v="21"/>
    <x v="956"/>
    <n v="3232.5"/>
    <x v="4"/>
    <x v="21"/>
  </r>
  <r>
    <x v="1229"/>
    <x v="1229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x v="29"/>
    <b v="0"/>
    <x v="21"/>
    <x v="957"/>
    <n v="1387.5"/>
    <x v="4"/>
    <x v="21"/>
  </r>
  <r>
    <x v="1230"/>
    <x v="1230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x v="78"/>
    <b v="0"/>
    <x v="21"/>
    <x v="109"/>
    <n v="250000"/>
    <x v="4"/>
    <x v="21"/>
  </r>
  <r>
    <x v="1231"/>
    <x v="1231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x v="78"/>
    <b v="0"/>
    <x v="21"/>
    <x v="109"/>
    <n v="2500"/>
    <x v="4"/>
    <x v="21"/>
  </r>
  <r>
    <x v="1232"/>
    <x v="1232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x v="29"/>
    <b v="0"/>
    <x v="21"/>
    <x v="417"/>
    <n v="2520"/>
    <x v="4"/>
    <x v="21"/>
  </r>
  <r>
    <x v="1233"/>
    <x v="1233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x v="79"/>
    <b v="0"/>
    <x v="21"/>
    <x v="958"/>
    <n v="558"/>
    <x v="4"/>
    <x v="21"/>
  </r>
  <r>
    <x v="1234"/>
    <x v="1234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x v="78"/>
    <b v="0"/>
    <x v="21"/>
    <x v="109"/>
    <n v="25000"/>
    <x v="4"/>
    <x v="21"/>
  </r>
  <r>
    <x v="1235"/>
    <x v="1235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x v="79"/>
    <b v="0"/>
    <x v="21"/>
    <x v="959"/>
    <n v="3872"/>
    <x v="4"/>
    <x v="21"/>
  </r>
  <r>
    <x v="1236"/>
    <x v="1236"/>
    <s v="Raising money to give the musicians their due."/>
    <n v="2500"/>
    <n v="0"/>
    <x v="1"/>
    <x v="0"/>
    <x v="0"/>
    <n v="1343491200"/>
    <n v="1342801164"/>
    <b v="0"/>
    <x v="78"/>
    <b v="0"/>
    <x v="21"/>
    <x v="109"/>
    <n v="1250"/>
    <x v="4"/>
    <x v="21"/>
  </r>
  <r>
    <x v="1237"/>
    <x v="1237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x v="78"/>
    <b v="0"/>
    <x v="21"/>
    <x v="109"/>
    <n v="12500"/>
    <x v="4"/>
    <x v="21"/>
  </r>
  <r>
    <x v="1238"/>
    <x v="1238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x v="83"/>
    <b v="0"/>
    <x v="21"/>
    <x v="960"/>
    <n v="589"/>
    <x v="4"/>
    <x v="21"/>
  </r>
  <r>
    <x v="1239"/>
    <x v="1239"/>
    <s v="Please consider helping us with our new CD and Riverdance Tour"/>
    <n v="2500"/>
    <n v="0"/>
    <x v="1"/>
    <x v="0"/>
    <x v="0"/>
    <n v="1325804767"/>
    <n v="1323212767"/>
    <b v="0"/>
    <x v="78"/>
    <b v="0"/>
    <x v="21"/>
    <x v="109"/>
    <n v="1250"/>
    <x v="4"/>
    <x v="21"/>
  </r>
  <r>
    <x v="1240"/>
    <x v="1240"/>
    <s v="Sharing positive vibes of Peace, Love &amp; Unity with the World through conscious Reggae Music!"/>
    <n v="8000"/>
    <n v="241"/>
    <x v="1"/>
    <x v="0"/>
    <x v="0"/>
    <n v="1373665860"/>
    <n v="1368579457"/>
    <b v="0"/>
    <x v="22"/>
    <b v="0"/>
    <x v="21"/>
    <x v="961"/>
    <n v="4120.5"/>
    <x v="4"/>
    <x v="21"/>
  </r>
  <r>
    <x v="1241"/>
    <x v="1241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x v="69"/>
    <b v="0"/>
    <x v="21"/>
    <x v="962"/>
    <n v="3768.5"/>
    <x v="4"/>
    <x v="21"/>
  </r>
  <r>
    <x v="1242"/>
    <x v="1242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x v="29"/>
    <b v="0"/>
    <x v="21"/>
    <x v="963"/>
    <n v="458"/>
    <x v="4"/>
    <x v="21"/>
  </r>
  <r>
    <x v="1243"/>
    <x v="1243"/>
    <s v="California's premier Latino cultural festival - music, theatre, film, workshops, visual arts, cuisine and more!"/>
    <n v="12000"/>
    <n v="1691"/>
    <x v="1"/>
    <x v="0"/>
    <x v="0"/>
    <n v="1310158800"/>
    <n v="1304888771"/>
    <b v="0"/>
    <x v="44"/>
    <b v="0"/>
    <x v="21"/>
    <x v="964"/>
    <n v="6845.5"/>
    <x v="4"/>
    <x v="21"/>
  </r>
  <r>
    <x v="1244"/>
    <x v="1244"/>
    <s v="THEATRUM MUNDI releases DEBUT ALBUM! Pre-order &quot;The Eyes of the Realm&quot; and help make it happen!"/>
    <n v="2000"/>
    <n v="2076"/>
    <x v="0"/>
    <x v="0"/>
    <x v="0"/>
    <n v="1366664400"/>
    <n v="1363981723"/>
    <b v="1"/>
    <x v="43"/>
    <b v="1"/>
    <x v="11"/>
    <x v="965"/>
    <n v="2038"/>
    <x v="4"/>
    <x v="11"/>
  </r>
  <r>
    <x v="1245"/>
    <x v="1245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x v="57"/>
    <b v="1"/>
    <x v="11"/>
    <x v="966"/>
    <n v="2202.5"/>
    <x v="4"/>
    <x v="11"/>
  </r>
  <r>
    <x v="1246"/>
    <x v="1246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x v="162"/>
    <b v="1"/>
    <x v="11"/>
    <x v="967"/>
    <n v="2170"/>
    <x v="4"/>
    <x v="11"/>
  </r>
  <r>
    <x v="1247"/>
    <x v="1247"/>
    <s v="BRAIN DEAD is going to record their debut EP and they need your help, Bozos!"/>
    <n v="3500"/>
    <n v="4275"/>
    <x v="0"/>
    <x v="0"/>
    <x v="0"/>
    <n v="1367823655"/>
    <n v="1365231655"/>
    <b v="1"/>
    <x v="133"/>
    <b v="1"/>
    <x v="11"/>
    <x v="968"/>
    <n v="3887.5"/>
    <x v="4"/>
    <x v="11"/>
  </r>
  <r>
    <x v="1248"/>
    <x v="1248"/>
    <s v="The Vandies make pop rock in glorious Portland, Oregon. Help us fund our first full length album!"/>
    <n v="2500"/>
    <n v="3791"/>
    <x v="0"/>
    <x v="0"/>
    <x v="0"/>
    <n v="1402642740"/>
    <n v="1399563953"/>
    <b v="1"/>
    <x v="211"/>
    <b v="1"/>
    <x v="11"/>
    <x v="969"/>
    <n v="3145.5"/>
    <x v="4"/>
    <x v="11"/>
  </r>
  <r>
    <x v="1249"/>
    <x v="1249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x v="75"/>
    <b v="1"/>
    <x v="11"/>
    <x v="970"/>
    <n v="5111"/>
    <x v="4"/>
    <x v="1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x v="278"/>
    <b v="1"/>
    <x v="11"/>
    <x v="971"/>
    <n v="45023"/>
    <x v="4"/>
    <x v="11"/>
  </r>
  <r>
    <x v="1251"/>
    <x v="1251"/>
    <s v="A tour of europe with 3 memphis artist, Jack Oblivian, Harlan T Bobo and Shawn Cripps."/>
    <n v="6000"/>
    <n v="6108"/>
    <x v="0"/>
    <x v="0"/>
    <x v="0"/>
    <n v="1316979167"/>
    <n v="1311795167"/>
    <b v="1"/>
    <x v="142"/>
    <b v="1"/>
    <x v="11"/>
    <x v="972"/>
    <n v="6054"/>
    <x v="4"/>
    <x v="11"/>
  </r>
  <r>
    <x v="1252"/>
    <x v="1252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x v="261"/>
    <b v="1"/>
    <x v="11"/>
    <x v="973"/>
    <n v="4159"/>
    <x v="4"/>
    <x v="11"/>
  </r>
  <r>
    <x v="1253"/>
    <x v="1253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x v="279"/>
    <b v="1"/>
    <x v="11"/>
    <x v="974"/>
    <n v="15196.66"/>
    <x v="4"/>
    <x v="11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x v="261"/>
    <b v="1"/>
    <x v="11"/>
    <x v="975"/>
    <n v="10011.5"/>
    <x v="4"/>
    <x v="11"/>
  </r>
  <r>
    <x v="1255"/>
    <x v="1255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x v="280"/>
    <b v="1"/>
    <x v="11"/>
    <x v="976"/>
    <n v="4535.5"/>
    <x v="4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x v="281"/>
    <b v="1"/>
    <x v="11"/>
    <x v="977"/>
    <n v="32694.564999999999"/>
    <x v="4"/>
    <x v="11"/>
  </r>
  <r>
    <x v="1257"/>
    <x v="1257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x v="282"/>
    <b v="1"/>
    <x v="11"/>
    <x v="978"/>
    <n v="10855"/>
    <x v="4"/>
    <x v="11"/>
  </r>
  <r>
    <x v="1258"/>
    <x v="1258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x v="283"/>
    <b v="1"/>
    <x v="11"/>
    <x v="979"/>
    <n v="18788.78"/>
    <x v="4"/>
    <x v="11"/>
  </r>
  <r>
    <x v="1259"/>
    <x v="1259"/>
    <s v="Falling From One is currently in the studio recording their first CD and they need your help!"/>
    <n v="2500"/>
    <n v="2606"/>
    <x v="0"/>
    <x v="0"/>
    <x v="0"/>
    <n v="1402286340"/>
    <n v="1399504664"/>
    <b v="1"/>
    <x v="93"/>
    <b v="1"/>
    <x v="11"/>
    <x v="980"/>
    <n v="2553"/>
    <x v="4"/>
    <x v="11"/>
  </r>
  <r>
    <x v="1260"/>
    <x v="1260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x v="142"/>
    <b v="1"/>
    <x v="11"/>
    <x v="981"/>
    <n v="3525.5"/>
    <x v="4"/>
    <x v="11"/>
  </r>
  <r>
    <x v="1261"/>
    <x v="1261"/>
    <s v="We just recorded a stellar EP and we're trying to put it out on vinyl.  Can you help these punx out?"/>
    <n v="2000"/>
    <n v="2025"/>
    <x v="0"/>
    <x v="0"/>
    <x v="0"/>
    <n v="1390983227"/>
    <n v="1388391227"/>
    <b v="1"/>
    <x v="47"/>
    <b v="1"/>
    <x v="11"/>
    <x v="982"/>
    <n v="2012.5"/>
    <x v="4"/>
    <x v="11"/>
  </r>
  <r>
    <x v="1262"/>
    <x v="1262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x v="217"/>
    <b v="1"/>
    <x v="11"/>
    <x v="983"/>
    <n v="7326"/>
    <x v="4"/>
    <x v="11"/>
  </r>
  <r>
    <x v="1263"/>
    <x v="1263"/>
    <s v="A fresh batch of chaos from Toledo, Ohio's reggae-rockers, Tropic Bombs!"/>
    <n v="1500"/>
    <n v="1785"/>
    <x v="0"/>
    <x v="0"/>
    <x v="0"/>
    <n v="1396054800"/>
    <n v="1393034470"/>
    <b v="1"/>
    <x v="14"/>
    <b v="1"/>
    <x v="11"/>
    <x v="984"/>
    <n v="1642.5"/>
    <x v="4"/>
    <x v="11"/>
  </r>
  <r>
    <x v="1264"/>
    <x v="1264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x v="69"/>
    <b v="1"/>
    <x v="11"/>
    <x v="985"/>
    <n v="866"/>
    <x v="4"/>
    <x v="11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x v="36"/>
    <b v="1"/>
    <x v="11"/>
    <x v="986"/>
    <n v="3835.085"/>
    <x v="4"/>
    <x v="11"/>
  </r>
  <r>
    <x v="1266"/>
    <x v="1266"/>
    <s v="We are looking to record our first EP produced by Aaron Harris (ISIS/Palms) at Studio West."/>
    <n v="9500"/>
    <n v="9545"/>
    <x v="0"/>
    <x v="0"/>
    <x v="0"/>
    <n v="1389474145"/>
    <n v="1386882145"/>
    <b v="1"/>
    <x v="133"/>
    <b v="1"/>
    <x v="11"/>
    <x v="987"/>
    <n v="9522.5"/>
    <x v="4"/>
    <x v="11"/>
  </r>
  <r>
    <x v="1267"/>
    <x v="1267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x v="180"/>
    <b v="1"/>
    <x v="11"/>
    <x v="972"/>
    <n v="22198"/>
    <x v="4"/>
    <x v="11"/>
  </r>
  <r>
    <x v="1268"/>
    <x v="1268"/>
    <s v="Full Devil Jacket Is releasing their first record in over 12 yrs and we want you to be a part of it!"/>
    <n v="12000"/>
    <n v="14000"/>
    <x v="0"/>
    <x v="0"/>
    <x v="0"/>
    <n v="1379708247"/>
    <n v="1377116247"/>
    <b v="1"/>
    <x v="0"/>
    <b v="1"/>
    <x v="11"/>
    <x v="988"/>
    <n v="13000"/>
    <x v="4"/>
    <x v="11"/>
  </r>
  <r>
    <x v="1269"/>
    <x v="1269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x v="190"/>
    <b v="1"/>
    <x v="11"/>
    <x v="989"/>
    <n v="19613"/>
    <x v="4"/>
    <x v="11"/>
  </r>
  <r>
    <x v="1270"/>
    <x v="1270"/>
    <s v="We make awake metal using violins in place of guitars and want to record a full length album."/>
    <n v="10000"/>
    <n v="11472"/>
    <x v="0"/>
    <x v="0"/>
    <x v="0"/>
    <n v="1332704042"/>
    <n v="1327523642"/>
    <b v="1"/>
    <x v="39"/>
    <b v="1"/>
    <x v="11"/>
    <x v="990"/>
    <n v="10736"/>
    <x v="4"/>
    <x v="11"/>
  </r>
  <r>
    <x v="1271"/>
    <x v="1271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x v="162"/>
    <b v="1"/>
    <x v="11"/>
    <x v="972"/>
    <n v="7567.5"/>
    <x v="4"/>
    <x v="11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x v="33"/>
    <b v="1"/>
    <x v="11"/>
    <x v="938"/>
    <n v="5150"/>
    <x v="4"/>
    <x v="11"/>
  </r>
  <r>
    <x v="1273"/>
    <x v="1273"/>
    <s v="Run Coyote is raising funds to produce their debut album - &quot;Youth Haunts&quot; - on vinyl LP and CD"/>
    <n v="4000"/>
    <n v="4140"/>
    <x v="0"/>
    <x v="5"/>
    <x v="5"/>
    <n v="1409506291"/>
    <n v="1406914291"/>
    <b v="1"/>
    <x v="241"/>
    <b v="1"/>
    <x v="11"/>
    <x v="991"/>
    <n v="4070"/>
    <x v="4"/>
    <x v="11"/>
  </r>
  <r>
    <x v="1274"/>
    <x v="1274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x v="284"/>
    <b v="1"/>
    <x v="11"/>
    <x v="992"/>
    <n v="31871.919999999998"/>
    <x v="4"/>
    <x v="11"/>
  </r>
  <r>
    <x v="1275"/>
    <x v="1275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x v="285"/>
    <b v="1"/>
    <x v="11"/>
    <x v="993"/>
    <n v="19660.55"/>
    <x v="4"/>
    <x v="11"/>
  </r>
  <r>
    <x v="1276"/>
    <x v="1276"/>
    <s v="Sponsor this Brooklyn punk band's debut seven-inch, MR. DREAM GOES TO JAIL."/>
    <n v="3000"/>
    <n v="3132.63"/>
    <x v="0"/>
    <x v="0"/>
    <x v="0"/>
    <n v="1251777600"/>
    <n v="1247504047"/>
    <b v="1"/>
    <x v="32"/>
    <b v="1"/>
    <x v="11"/>
    <x v="994"/>
    <n v="3066.3150000000001"/>
    <x v="4"/>
    <x v="11"/>
  </r>
  <r>
    <x v="1277"/>
    <x v="1277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x v="286"/>
    <b v="1"/>
    <x v="11"/>
    <x v="995"/>
    <n v="15459.325000000001"/>
    <x v="4"/>
    <x v="11"/>
  </r>
  <r>
    <x v="1278"/>
    <x v="1278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x v="245"/>
    <b v="1"/>
    <x v="11"/>
    <x v="996"/>
    <n v="8285.5"/>
    <x v="4"/>
    <x v="11"/>
  </r>
  <r>
    <x v="1279"/>
    <x v="1279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x v="143"/>
    <b v="1"/>
    <x v="11"/>
    <x v="997"/>
    <n v="13190.084999999999"/>
    <x v="4"/>
    <x v="11"/>
  </r>
  <r>
    <x v="1280"/>
    <x v="1280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x v="208"/>
    <b v="1"/>
    <x v="11"/>
    <x v="998"/>
    <n v="15818.39"/>
    <x v="4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x v="142"/>
    <b v="1"/>
    <x v="11"/>
    <x v="592"/>
    <n v="7375"/>
    <x v="4"/>
    <x v="11"/>
  </r>
  <r>
    <x v="1282"/>
    <x v="1282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x v="220"/>
    <b v="1"/>
    <x v="11"/>
    <x v="999"/>
    <n v="16771"/>
    <x v="4"/>
    <x v="11"/>
  </r>
  <r>
    <x v="1283"/>
    <x v="1283"/>
    <s v="Our 3rd album is halfway complete, but we need your help to record, mix and master the final product!"/>
    <n v="1000"/>
    <n v="2110.5"/>
    <x v="0"/>
    <x v="0"/>
    <x v="0"/>
    <n v="1362974400"/>
    <n v="1360948389"/>
    <b v="1"/>
    <x v="19"/>
    <b v="1"/>
    <x v="11"/>
    <x v="1000"/>
    <n v="1555.25"/>
    <x v="4"/>
    <x v="11"/>
  </r>
  <r>
    <x v="1284"/>
    <x v="1284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x v="162"/>
    <b v="1"/>
    <x v="6"/>
    <x v="50"/>
    <n v="2010"/>
    <x v="1"/>
    <x v="6"/>
  </r>
  <r>
    <x v="1285"/>
    <x v="1285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x v="287"/>
    <b v="1"/>
    <x v="6"/>
    <x v="1001"/>
    <n v="2016.5"/>
    <x v="1"/>
    <x v="6"/>
  </r>
  <r>
    <x v="1286"/>
    <x v="1286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x v="9"/>
    <b v="1"/>
    <x v="6"/>
    <x v="1002"/>
    <n v="1562.5"/>
    <x v="1"/>
    <x v="6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x v="20"/>
    <b v="1"/>
    <x v="6"/>
    <x v="1003"/>
    <n v="427.5"/>
    <x v="1"/>
    <x v="6"/>
  </r>
  <r>
    <x v="1288"/>
    <x v="1288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x v="42"/>
    <b v="1"/>
    <x v="6"/>
    <x v="1004"/>
    <n v="4009"/>
    <x v="1"/>
    <x v="6"/>
  </r>
  <r>
    <x v="1289"/>
    <x v="1289"/>
    <s v="A chilling original Edwardian Comedy of errors and foolishness made for the Patrick Henry College stage."/>
    <n v="1500"/>
    <n v="1876"/>
    <x v="0"/>
    <x v="0"/>
    <x v="0"/>
    <n v="1483499645"/>
    <n v="1480907645"/>
    <b v="0"/>
    <x v="47"/>
    <b v="1"/>
    <x v="6"/>
    <x v="1005"/>
    <n v="1688"/>
    <x v="1"/>
    <x v="6"/>
  </r>
  <r>
    <x v="1290"/>
    <x v="1290"/>
    <s v="Sometimes your Heart has to STOP for your Life to START."/>
    <n v="3500"/>
    <n v="3800"/>
    <x v="0"/>
    <x v="0"/>
    <x v="0"/>
    <n v="1429772340"/>
    <n v="1427121931"/>
    <b v="0"/>
    <x v="48"/>
    <b v="1"/>
    <x v="6"/>
    <x v="1006"/>
    <n v="3650"/>
    <x v="1"/>
    <x v="6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x v="288"/>
    <b v="1"/>
    <x v="6"/>
    <x v="945"/>
    <n v="3685.5"/>
    <x v="1"/>
    <x v="6"/>
  </r>
  <r>
    <x v="1292"/>
    <x v="1292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x v="47"/>
    <b v="1"/>
    <x v="6"/>
    <x v="1007"/>
    <n v="1785"/>
    <x v="1"/>
    <x v="6"/>
  </r>
  <r>
    <x v="1293"/>
    <x v="1293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x v="148"/>
    <b v="1"/>
    <x v="6"/>
    <x v="1008"/>
    <n v="15167.5"/>
    <x v="1"/>
    <x v="6"/>
  </r>
  <r>
    <x v="1294"/>
    <x v="1294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x v="19"/>
    <b v="1"/>
    <x v="6"/>
    <x v="1009"/>
    <n v="555"/>
    <x v="1"/>
    <x v="6"/>
  </r>
  <r>
    <x v="1295"/>
    <x v="1295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x v="31"/>
    <b v="1"/>
    <x v="6"/>
    <x v="1010"/>
    <n v="2524.5"/>
    <x v="1"/>
    <x v="6"/>
  </r>
  <r>
    <x v="1296"/>
    <x v="1296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x v="23"/>
    <b v="1"/>
    <x v="6"/>
    <x v="1011"/>
    <n v="1025"/>
    <x v="1"/>
    <x v="6"/>
  </r>
  <r>
    <x v="1297"/>
    <x v="1297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x v="146"/>
    <b v="1"/>
    <x v="6"/>
    <x v="1012"/>
    <n v="20952.5"/>
    <x v="1"/>
    <x v="6"/>
  </r>
  <r>
    <x v="1298"/>
    <x v="1298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x v="51"/>
    <b v="1"/>
    <x v="6"/>
    <x v="1013"/>
    <n v="2046.5"/>
    <x v="1"/>
    <x v="6"/>
  </r>
  <r>
    <x v="1299"/>
    <x v="1299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x v="58"/>
    <b v="1"/>
    <x v="6"/>
    <x v="1014"/>
    <n v="3920"/>
    <x v="1"/>
    <x v="6"/>
  </r>
  <r>
    <x v="1300"/>
    <x v="1300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x v="54"/>
    <b v="1"/>
    <x v="6"/>
    <x v="920"/>
    <n v="3525"/>
    <x v="1"/>
    <x v="6"/>
  </r>
  <r>
    <x v="1301"/>
    <x v="1301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x v="60"/>
    <b v="1"/>
    <x v="6"/>
    <x v="1015"/>
    <n v="2027.5"/>
    <x v="1"/>
    <x v="6"/>
  </r>
  <r>
    <x v="1302"/>
    <x v="1302"/>
    <s v="Boys of a Certain Age is a unique and special show that we're trying to remount in New York City in 2017."/>
    <n v="2500"/>
    <n v="2500"/>
    <x v="0"/>
    <x v="0"/>
    <x v="0"/>
    <n v="1480559011"/>
    <n v="1477963411"/>
    <b v="0"/>
    <x v="133"/>
    <b v="1"/>
    <x v="6"/>
    <x v="31"/>
    <n v="2500"/>
    <x v="1"/>
    <x v="6"/>
  </r>
  <r>
    <x v="1303"/>
    <x v="1303"/>
    <s v="Groundbreaking queer theatre."/>
    <n v="3500"/>
    <n v="4559.13"/>
    <x v="0"/>
    <x v="1"/>
    <x v="1"/>
    <n v="1469962800"/>
    <n v="1468578920"/>
    <b v="0"/>
    <x v="52"/>
    <b v="1"/>
    <x v="6"/>
    <x v="1016"/>
    <n v="4029.5650000000001"/>
    <x v="1"/>
    <x v="6"/>
  </r>
  <r>
    <x v="1304"/>
    <x v="1304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x v="201"/>
    <b v="0"/>
    <x v="8"/>
    <x v="1017"/>
    <n v="27925.5"/>
    <x v="2"/>
    <x v="8"/>
  </r>
  <r>
    <x v="1305"/>
    <x v="1305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x v="48"/>
    <b v="0"/>
    <x v="8"/>
    <x v="1018"/>
    <n v="18896.5"/>
    <x v="2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x v="289"/>
    <b v="0"/>
    <x v="8"/>
    <x v="1019"/>
    <n v="90885.5"/>
    <x v="2"/>
    <x v="8"/>
  </r>
  <r>
    <x v="1307"/>
    <x v="1307"/>
    <s v="Get VR to Everyone with Mailable, Ready to Use Viewers"/>
    <n v="50000"/>
    <n v="5757"/>
    <x v="1"/>
    <x v="0"/>
    <x v="0"/>
    <n v="1455710679"/>
    <n v="1453118679"/>
    <b v="0"/>
    <x v="43"/>
    <b v="0"/>
    <x v="8"/>
    <x v="1020"/>
    <n v="27878.5"/>
    <x v="2"/>
    <x v="8"/>
  </r>
  <r>
    <x v="1308"/>
    <x v="1308"/>
    <s v="Boost Band, a wristband that charges any device"/>
    <n v="10000"/>
    <n v="1136"/>
    <x v="1"/>
    <x v="0"/>
    <x v="0"/>
    <n v="1475937812"/>
    <n v="1472481812"/>
    <b v="0"/>
    <x v="44"/>
    <b v="0"/>
    <x v="8"/>
    <x v="1021"/>
    <n v="5568"/>
    <x v="2"/>
    <x v="8"/>
  </r>
  <r>
    <x v="1309"/>
    <x v="1309"/>
    <s v="Wicked fun and built for excitement, CORE is the safest and most versatile speaker you've ever worn."/>
    <n v="11500"/>
    <n v="12879"/>
    <x v="1"/>
    <x v="0"/>
    <x v="0"/>
    <n v="1444943468"/>
    <n v="1441919468"/>
    <b v="0"/>
    <x v="2"/>
    <b v="0"/>
    <x v="8"/>
    <x v="1022"/>
    <n v="12189.5"/>
    <x v="2"/>
    <x v="8"/>
  </r>
  <r>
    <x v="1310"/>
    <x v="1310"/>
    <s v="An essential hoodie that holds all sized smart phones and keep your headphone wires tangle free."/>
    <n v="20000"/>
    <n v="3100"/>
    <x v="1"/>
    <x v="0"/>
    <x v="0"/>
    <n v="1471622450"/>
    <n v="1467734450"/>
    <b v="0"/>
    <x v="54"/>
    <b v="0"/>
    <x v="8"/>
    <x v="1023"/>
    <n v="11550"/>
    <x v="2"/>
    <x v="8"/>
  </r>
  <r>
    <x v="1311"/>
    <x v="1311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x v="61"/>
    <b v="0"/>
    <x v="8"/>
    <x v="1024"/>
    <n v="165035"/>
    <x v="2"/>
    <x v="8"/>
  </r>
  <r>
    <x v="1312"/>
    <x v="1312"/>
    <s v="People loved the original Black and Gray GoSolo hats and asked for more. So we received sample for 3 more colors!"/>
    <n v="4600"/>
    <n v="28"/>
    <x v="1"/>
    <x v="0"/>
    <x v="0"/>
    <n v="1429375922"/>
    <n v="1426783922"/>
    <b v="0"/>
    <x v="29"/>
    <b v="0"/>
    <x v="8"/>
    <x v="1025"/>
    <n v="2314"/>
    <x v="2"/>
    <x v="8"/>
  </r>
  <r>
    <x v="1313"/>
    <x v="1313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x v="259"/>
    <b v="0"/>
    <x v="8"/>
    <x v="1026"/>
    <n v="26223"/>
    <x v="2"/>
    <x v="8"/>
  </r>
  <r>
    <x v="1314"/>
    <x v="1314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x v="202"/>
    <b v="0"/>
    <x v="8"/>
    <x v="1027"/>
    <n v="91014"/>
    <x v="2"/>
    <x v="8"/>
  </r>
  <r>
    <x v="1315"/>
    <x v="1315"/>
    <s v="Zoom will happen - THANK YOU! Received outside funding due amazing early success!"/>
    <n v="100000"/>
    <n v="40404"/>
    <x v="1"/>
    <x v="0"/>
    <x v="0"/>
    <n v="1446771600"/>
    <n v="1443700648"/>
    <b v="0"/>
    <x v="290"/>
    <b v="0"/>
    <x v="8"/>
    <x v="1028"/>
    <n v="70202"/>
    <x v="2"/>
    <x v="8"/>
  </r>
  <r>
    <x v="1316"/>
    <x v="1316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x v="29"/>
    <b v="0"/>
    <x v="8"/>
    <x v="1029"/>
    <n v="37500.5"/>
    <x v="2"/>
    <x v="8"/>
  </r>
  <r>
    <x v="1317"/>
    <x v="1317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x v="10"/>
    <b v="0"/>
    <x v="8"/>
    <x v="1030"/>
    <n v="105733.5"/>
    <x v="2"/>
    <x v="8"/>
  </r>
  <r>
    <x v="1318"/>
    <x v="1318"/>
    <s v="Your Dog's Best Friend._x000a_Revolutionize the way you care about your pups and brings you peace of mind."/>
    <n v="40000"/>
    <n v="6130"/>
    <x v="1"/>
    <x v="0"/>
    <x v="0"/>
    <n v="1420938172"/>
    <n v="1418346172"/>
    <b v="0"/>
    <x v="125"/>
    <b v="0"/>
    <x v="8"/>
    <x v="1031"/>
    <n v="23065"/>
    <x v="2"/>
    <x v="8"/>
  </r>
  <r>
    <x v="1319"/>
    <x v="1319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x v="82"/>
    <b v="0"/>
    <x v="8"/>
    <x v="1032"/>
    <n v="3338"/>
    <x v="2"/>
    <x v="8"/>
  </r>
  <r>
    <x v="1320"/>
    <x v="1320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x v="83"/>
    <b v="0"/>
    <x v="8"/>
    <x v="1033"/>
    <n v="50251.5"/>
    <x v="2"/>
    <x v="8"/>
  </r>
  <r>
    <x v="1321"/>
    <x v="1321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x v="63"/>
    <b v="0"/>
    <x v="8"/>
    <x v="1034"/>
    <n v="234009.5"/>
    <x v="2"/>
    <x v="8"/>
  </r>
  <r>
    <x v="1322"/>
    <x v="1322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x v="80"/>
    <b v="0"/>
    <x v="8"/>
    <x v="1035"/>
    <n v="17553"/>
    <x v="2"/>
    <x v="8"/>
  </r>
  <r>
    <x v="1323"/>
    <x v="1323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x v="34"/>
    <b v="0"/>
    <x v="8"/>
    <x v="1036"/>
    <n v="8166"/>
    <x v="2"/>
    <x v="8"/>
  </r>
  <r>
    <x v="1324"/>
    <x v="1324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x v="240"/>
    <b v="0"/>
    <x v="8"/>
    <x v="1037"/>
    <n v="27460"/>
    <x v="2"/>
    <x v="8"/>
  </r>
  <r>
    <x v="1325"/>
    <x v="1325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x v="22"/>
    <b v="0"/>
    <x v="8"/>
    <x v="1038"/>
    <n v="10243"/>
    <x v="2"/>
    <x v="8"/>
  </r>
  <r>
    <x v="1326"/>
    <x v="1326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x v="202"/>
    <b v="0"/>
    <x v="8"/>
    <x v="1039"/>
    <n v="50565"/>
    <x v="2"/>
    <x v="8"/>
  </r>
  <r>
    <x v="1327"/>
    <x v="1327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x v="14"/>
    <b v="0"/>
    <x v="8"/>
    <x v="1040"/>
    <n v="24852.5"/>
    <x v="2"/>
    <x v="8"/>
  </r>
  <r>
    <x v="1328"/>
    <x v="1328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x v="41"/>
    <b v="0"/>
    <x v="8"/>
    <x v="1041"/>
    <n v="38374"/>
    <x v="2"/>
    <x v="8"/>
  </r>
  <r>
    <x v="1329"/>
    <x v="1329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x v="82"/>
    <b v="0"/>
    <x v="8"/>
    <x v="1042"/>
    <n v="25204"/>
    <x v="2"/>
    <x v="8"/>
  </r>
  <r>
    <x v="1330"/>
    <x v="1330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x v="133"/>
    <b v="0"/>
    <x v="8"/>
    <x v="1043"/>
    <n v="21436.5"/>
    <x v="2"/>
    <x v="8"/>
  </r>
  <r>
    <x v="1331"/>
    <x v="1331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x v="69"/>
    <b v="0"/>
    <x v="8"/>
    <x v="1044"/>
    <n v="126708.5"/>
    <x v="2"/>
    <x v="8"/>
  </r>
  <r>
    <x v="1332"/>
    <x v="1332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x v="78"/>
    <b v="0"/>
    <x v="8"/>
    <x v="109"/>
    <n v="5057.5"/>
    <x v="2"/>
    <x v="8"/>
  </r>
  <r>
    <x v="1333"/>
    <x v="1333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x v="78"/>
    <b v="0"/>
    <x v="8"/>
    <x v="109"/>
    <n v="1250"/>
    <x v="2"/>
    <x v="8"/>
  </r>
  <r>
    <x v="1334"/>
    <x v="1334"/>
    <s v="A wearable device that allows you to dock and operate your phone hands-free anywhere and everywhere!"/>
    <n v="133000"/>
    <n v="14303"/>
    <x v="1"/>
    <x v="0"/>
    <x v="0"/>
    <n v="1457721287"/>
    <n v="1455129287"/>
    <b v="0"/>
    <x v="222"/>
    <b v="0"/>
    <x v="8"/>
    <x v="1045"/>
    <n v="73651.5"/>
    <x v="2"/>
    <x v="8"/>
  </r>
  <r>
    <x v="1335"/>
    <x v="1335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x v="38"/>
    <b v="0"/>
    <x v="8"/>
    <x v="1046"/>
    <n v="14970"/>
    <x v="2"/>
    <x v="8"/>
  </r>
  <r>
    <x v="1336"/>
    <x v="1336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x v="291"/>
    <b v="0"/>
    <x v="8"/>
    <x v="1047"/>
    <n v="92473.5"/>
    <x v="2"/>
    <x v="8"/>
  </r>
  <r>
    <x v="1337"/>
    <x v="1337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x v="205"/>
    <b v="0"/>
    <x v="8"/>
    <x v="1048"/>
    <n v="37345.5"/>
    <x v="2"/>
    <x v="8"/>
  </r>
  <r>
    <x v="1338"/>
    <x v="1338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x v="41"/>
    <b v="0"/>
    <x v="8"/>
    <x v="1049"/>
    <n v="15495.5"/>
    <x v="2"/>
    <x v="8"/>
  </r>
  <r>
    <x v="1339"/>
    <x v="1339"/>
    <s v="World's Smallest customizable Phone &amp; GPS Watch for kids !"/>
    <n v="50000"/>
    <n v="3317"/>
    <x v="1"/>
    <x v="0"/>
    <x v="0"/>
    <n v="1418056315"/>
    <n v="1414164715"/>
    <b v="0"/>
    <x v="77"/>
    <b v="0"/>
    <x v="8"/>
    <x v="1050"/>
    <n v="26658.5"/>
    <x v="2"/>
    <x v="8"/>
  </r>
  <r>
    <x v="1340"/>
    <x v="1340"/>
    <s v="I would like to make nicer, more stylish looking frames for the Google Glass using 3D printing technology."/>
    <n v="1680"/>
    <n v="0"/>
    <x v="1"/>
    <x v="0"/>
    <x v="0"/>
    <n v="1408112253"/>
    <n v="1405520253"/>
    <b v="0"/>
    <x v="78"/>
    <b v="0"/>
    <x v="8"/>
    <x v="109"/>
    <n v="840"/>
    <x v="2"/>
    <x v="8"/>
  </r>
  <r>
    <x v="1341"/>
    <x v="1341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x v="67"/>
    <b v="0"/>
    <x v="8"/>
    <x v="1051"/>
    <n v="21295"/>
    <x v="2"/>
    <x v="8"/>
  </r>
  <r>
    <x v="1342"/>
    <x v="1342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x v="29"/>
    <b v="0"/>
    <x v="8"/>
    <x v="418"/>
    <n v="25050"/>
    <x v="2"/>
    <x v="8"/>
  </r>
  <r>
    <x v="1343"/>
    <x v="1343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x v="292"/>
    <b v="0"/>
    <x v="8"/>
    <x v="1052"/>
    <n v="50574.5"/>
    <x v="2"/>
    <x v="8"/>
  </r>
  <r>
    <x v="1344"/>
    <x v="1344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x v="237"/>
    <b v="1"/>
    <x v="9"/>
    <x v="1053"/>
    <n v="3583"/>
    <x v="3"/>
    <x v="9"/>
  </r>
  <r>
    <x v="1345"/>
    <x v="1345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x v="63"/>
    <b v="1"/>
    <x v="9"/>
    <x v="1054"/>
    <n v="337.5"/>
    <x v="3"/>
    <x v="9"/>
  </r>
  <r>
    <x v="1346"/>
    <x v="1346"/>
    <s v="An anthology of nonfiction stories written by Nepal's Lesbian, Gay, Bisexual, and Transgender (LGBT) community."/>
    <n v="4900"/>
    <n v="7219"/>
    <x v="0"/>
    <x v="0"/>
    <x v="0"/>
    <n v="1372297751"/>
    <n v="1369705751"/>
    <b v="0"/>
    <x v="184"/>
    <b v="1"/>
    <x v="9"/>
    <x v="1055"/>
    <n v="6059.5"/>
    <x v="3"/>
    <x v="9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x v="162"/>
    <b v="1"/>
    <x v="9"/>
    <x v="1056"/>
    <n v="2527.5"/>
    <x v="3"/>
    <x v="9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x v="55"/>
    <b v="1"/>
    <x v="9"/>
    <x v="1057"/>
    <n v="5930"/>
    <x v="3"/>
    <x v="9"/>
  </r>
  <r>
    <x v="1349"/>
    <x v="1349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x v="293"/>
    <b v="1"/>
    <x v="9"/>
    <x v="1058"/>
    <n v="7605"/>
    <x v="3"/>
    <x v="9"/>
  </r>
  <r>
    <x v="1350"/>
    <x v="1350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x v="76"/>
    <b v="1"/>
    <x v="9"/>
    <x v="1059"/>
    <n v="5101.25"/>
    <x v="3"/>
    <x v="9"/>
  </r>
  <r>
    <x v="1351"/>
    <x v="1351"/>
    <s v="Discover your purpose, live a more fulfilling life, leave a positive footprint on society."/>
    <n v="20000"/>
    <n v="20253"/>
    <x v="0"/>
    <x v="0"/>
    <x v="0"/>
    <n v="1455299144"/>
    <n v="1452707144"/>
    <b v="0"/>
    <x v="148"/>
    <b v="1"/>
    <x v="9"/>
    <x v="1060"/>
    <n v="20126.5"/>
    <x v="3"/>
    <x v="9"/>
  </r>
  <r>
    <x v="1352"/>
    <x v="1352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x v="294"/>
    <b v="1"/>
    <x v="9"/>
    <x v="1061"/>
    <n v="11807"/>
    <x v="3"/>
    <x v="9"/>
  </r>
  <r>
    <x v="1353"/>
    <x v="1353"/>
    <s v="A book that teaches aspiring writers how to get from a basic idea to a fully rewritten screenplay."/>
    <n v="1000"/>
    <n v="1336"/>
    <x v="0"/>
    <x v="0"/>
    <x v="0"/>
    <n v="1362960000"/>
    <n v="1359946188"/>
    <b v="0"/>
    <x v="288"/>
    <b v="1"/>
    <x v="9"/>
    <x v="1062"/>
    <n v="1168"/>
    <x v="3"/>
    <x v="9"/>
  </r>
  <r>
    <x v="1354"/>
    <x v="1354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x v="31"/>
    <b v="1"/>
    <x v="9"/>
    <x v="1063"/>
    <n v="1381.5"/>
    <x v="3"/>
    <x v="9"/>
  </r>
  <r>
    <x v="1355"/>
    <x v="1355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x v="212"/>
    <b v="1"/>
    <x v="9"/>
    <x v="1064"/>
    <n v="2783.5"/>
    <x v="3"/>
    <x v="9"/>
  </r>
  <r>
    <x v="1356"/>
    <x v="1356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x v="45"/>
    <b v="1"/>
    <x v="9"/>
    <x v="1065"/>
    <n v="4807.7800000000007"/>
    <x v="3"/>
    <x v="9"/>
  </r>
  <r>
    <x v="1357"/>
    <x v="1357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x v="71"/>
    <b v="1"/>
    <x v="9"/>
    <x v="1066"/>
    <n v="2253"/>
    <x v="3"/>
    <x v="9"/>
  </r>
  <r>
    <x v="1358"/>
    <x v="1358"/>
    <s v="I am working on a book about what people do when they visit Masada, an ancient fortress in the Judean desert."/>
    <n v="3000"/>
    <n v="3350"/>
    <x v="0"/>
    <x v="0"/>
    <x v="0"/>
    <n v="1309009323"/>
    <n v="1306417323"/>
    <b v="0"/>
    <x v="72"/>
    <b v="1"/>
    <x v="9"/>
    <x v="1067"/>
    <n v="3175"/>
    <x v="3"/>
    <x v="9"/>
  </r>
  <r>
    <x v="1359"/>
    <x v="1359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x v="10"/>
    <b v="1"/>
    <x v="9"/>
    <x v="1068"/>
    <n v="712"/>
    <x v="3"/>
    <x v="9"/>
  </r>
  <r>
    <x v="1360"/>
    <x v="1360"/>
    <s v="So Bad, It's Good! is a guide to finding the best films for your bad movie night."/>
    <n v="1500"/>
    <n v="2598"/>
    <x v="0"/>
    <x v="0"/>
    <x v="0"/>
    <n v="1343943420"/>
    <n v="1341524220"/>
    <b v="0"/>
    <x v="75"/>
    <b v="1"/>
    <x v="9"/>
    <x v="1069"/>
    <n v="2049"/>
    <x v="3"/>
    <x v="9"/>
  </r>
  <r>
    <x v="1361"/>
    <x v="1361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x v="295"/>
    <b v="1"/>
    <x v="9"/>
    <x v="1070"/>
    <n v="6779.5"/>
    <x v="3"/>
    <x v="9"/>
  </r>
  <r>
    <x v="1362"/>
    <x v="1362"/>
    <s v="The never-before-told story of Karl Barth's (first and only) journey to the United States in 1962."/>
    <n v="1000"/>
    <n v="1091"/>
    <x v="0"/>
    <x v="0"/>
    <x v="0"/>
    <n v="1378592731"/>
    <n v="1373408731"/>
    <b v="0"/>
    <x v="20"/>
    <b v="1"/>
    <x v="9"/>
    <x v="1071"/>
    <n v="1045.5"/>
    <x v="3"/>
    <x v="9"/>
  </r>
  <r>
    <x v="1363"/>
    <x v="1363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x v="81"/>
    <b v="1"/>
    <x v="9"/>
    <x v="31"/>
    <n v="200"/>
    <x v="3"/>
    <x v="9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x v="296"/>
    <b v="1"/>
    <x v="11"/>
    <x v="1072"/>
    <n v="45915"/>
    <x v="4"/>
    <x v="11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x v="297"/>
    <b v="1"/>
    <x v="11"/>
    <x v="1073"/>
    <n v="7510"/>
    <x v="4"/>
    <x v="11"/>
  </r>
  <r>
    <x v="1366"/>
    <x v="1366"/>
    <s v="A musical memorial for Alexi Petersen."/>
    <n v="7500"/>
    <n v="9486.69"/>
    <x v="0"/>
    <x v="0"/>
    <x v="0"/>
    <n v="1417049663"/>
    <n v="1413158063"/>
    <b v="0"/>
    <x v="206"/>
    <b v="1"/>
    <x v="11"/>
    <x v="1074"/>
    <n v="8493.3450000000012"/>
    <x v="4"/>
    <x v="11"/>
  </r>
  <r>
    <x v="1367"/>
    <x v="1367"/>
    <s v="House of Rabbits are recording our full-length, debut album! Support independent music, receive great rewards!"/>
    <n v="5000"/>
    <n v="5713"/>
    <x v="0"/>
    <x v="0"/>
    <x v="0"/>
    <n v="1447463050"/>
    <n v="1444867450"/>
    <b v="0"/>
    <x v="240"/>
    <b v="1"/>
    <x v="11"/>
    <x v="1075"/>
    <n v="5356.5"/>
    <x v="4"/>
    <x v="11"/>
  </r>
  <r>
    <x v="1368"/>
    <x v="1368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x v="45"/>
    <b v="1"/>
    <x v="11"/>
    <x v="1076"/>
    <n v="5267.5"/>
    <x v="4"/>
    <x v="11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x v="298"/>
    <b v="1"/>
    <x v="11"/>
    <x v="1077"/>
    <n v="33225.315000000002"/>
    <x v="4"/>
    <x v="11"/>
  </r>
  <r>
    <x v="1370"/>
    <x v="1370"/>
    <s v="Songs about the first year of parenthood, often inappropriate for children"/>
    <n v="1500"/>
    <n v="1555"/>
    <x v="0"/>
    <x v="0"/>
    <x v="0"/>
    <n v="1381881890"/>
    <n v="1380585890"/>
    <b v="0"/>
    <x v="9"/>
    <b v="1"/>
    <x v="11"/>
    <x v="1078"/>
    <n v="1527.5"/>
    <x v="4"/>
    <x v="11"/>
  </r>
  <r>
    <x v="1371"/>
    <x v="1371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x v="16"/>
    <b v="1"/>
    <x v="11"/>
    <x v="1079"/>
    <n v="7247"/>
    <x v="4"/>
    <x v="11"/>
  </r>
  <r>
    <x v="1372"/>
    <x v="1372"/>
    <s v="Please help us raise funds to press our new CD!"/>
    <n v="500"/>
    <n v="620"/>
    <x v="0"/>
    <x v="0"/>
    <x v="0"/>
    <n v="1342115132"/>
    <n v="1339523132"/>
    <b v="0"/>
    <x v="38"/>
    <b v="1"/>
    <x v="11"/>
    <x v="1014"/>
    <n v="560"/>
    <x v="4"/>
    <x v="11"/>
  </r>
  <r>
    <x v="1373"/>
    <x v="1373"/>
    <s v="Help Broccoli Samurai raise money to get a new van and continue bringing you the jams!"/>
    <n v="10000"/>
    <n v="10501"/>
    <x v="0"/>
    <x v="0"/>
    <x v="0"/>
    <n v="1483138233"/>
    <n v="1480546233"/>
    <b v="0"/>
    <x v="47"/>
    <b v="1"/>
    <x v="11"/>
    <x v="1080"/>
    <n v="10250.5"/>
    <x v="4"/>
    <x v="11"/>
  </r>
  <r>
    <x v="1374"/>
    <x v="1374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x v="36"/>
    <b v="1"/>
    <x v="11"/>
    <x v="1081"/>
    <n v="2171"/>
    <x v="4"/>
    <x v="11"/>
  </r>
  <r>
    <x v="1375"/>
    <x v="1375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x v="280"/>
    <b v="1"/>
    <x v="11"/>
    <x v="1082"/>
    <n v="5426.5"/>
    <x v="4"/>
    <x v="11"/>
  </r>
  <r>
    <x v="1376"/>
    <x v="1376"/>
    <s v="Dead Pirates are planning a second pressing of HIGHMARE LP, who wants one ?"/>
    <n v="3700"/>
    <n v="9342"/>
    <x v="0"/>
    <x v="1"/>
    <x v="1"/>
    <n v="1480784606"/>
    <n v="1478189006"/>
    <b v="0"/>
    <x v="129"/>
    <b v="1"/>
    <x v="11"/>
    <x v="1083"/>
    <n v="6521"/>
    <x v="4"/>
    <x v="11"/>
  </r>
  <r>
    <x v="1377"/>
    <x v="1377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x v="162"/>
    <b v="1"/>
    <x v="11"/>
    <x v="1084"/>
    <n v="1405"/>
    <x v="4"/>
    <x v="11"/>
  </r>
  <r>
    <x v="1378"/>
    <x v="1378"/>
    <s v="A psychedelic post rock masterpiece!"/>
    <n v="2000"/>
    <n v="4067"/>
    <x v="0"/>
    <x v="1"/>
    <x v="1"/>
    <n v="1470075210"/>
    <n v="1468779210"/>
    <b v="0"/>
    <x v="182"/>
    <b v="1"/>
    <x v="11"/>
    <x v="1085"/>
    <n v="3033.5"/>
    <x v="4"/>
    <x v="11"/>
  </r>
  <r>
    <x v="1379"/>
    <x v="1379"/>
    <s v="---------The long-awaited debut full-length from Justin Ruddy--------"/>
    <n v="10000"/>
    <n v="11160"/>
    <x v="0"/>
    <x v="0"/>
    <x v="0"/>
    <n v="1433504876"/>
    <n v="1430912876"/>
    <b v="0"/>
    <x v="299"/>
    <b v="1"/>
    <x v="11"/>
    <x v="1086"/>
    <n v="10580"/>
    <x v="4"/>
    <x v="11"/>
  </r>
  <r>
    <x v="1380"/>
    <x v="1380"/>
    <s v="A DIY MUSIC FESTIVAL FROM ST. LOUIS MO! Bands make their own festival, help make it legit!"/>
    <n v="25"/>
    <n v="106"/>
    <x v="0"/>
    <x v="0"/>
    <x v="0"/>
    <n v="1433815200"/>
    <n v="1431886706"/>
    <b v="0"/>
    <x v="81"/>
    <b v="1"/>
    <x v="11"/>
    <x v="1087"/>
    <n v="65.5"/>
    <x v="4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x v="196"/>
    <b v="1"/>
    <x v="11"/>
    <x v="1088"/>
    <n v="5177.5"/>
    <x v="4"/>
    <x v="11"/>
  </r>
  <r>
    <x v="1382"/>
    <x v="1382"/>
    <s v="We're making a new record -- independently! We've got some great new songs we're really excited to bring to you!"/>
    <n v="8000"/>
    <n v="8349"/>
    <x v="0"/>
    <x v="0"/>
    <x v="0"/>
    <n v="1367867536"/>
    <n v="1365275536"/>
    <b v="0"/>
    <x v="265"/>
    <b v="1"/>
    <x v="11"/>
    <x v="1089"/>
    <n v="8174.5"/>
    <x v="4"/>
    <x v="11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x v="251"/>
    <b v="1"/>
    <x v="11"/>
    <x v="1090"/>
    <n v="3436.5"/>
    <x v="4"/>
    <x v="11"/>
  </r>
  <r>
    <x v="1384"/>
    <x v="1384"/>
    <s v="Outland Warrior is my first solo musical project, featuring songs written by me and recorded at my home studio."/>
    <n v="3500"/>
    <n v="4343"/>
    <x v="0"/>
    <x v="0"/>
    <x v="0"/>
    <n v="1436117922"/>
    <n v="1433525922"/>
    <b v="0"/>
    <x v="287"/>
    <b v="1"/>
    <x v="11"/>
    <x v="1091"/>
    <n v="3921.5"/>
    <x v="4"/>
    <x v="11"/>
  </r>
  <r>
    <x v="1385"/>
    <x v="1385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x v="179"/>
    <b v="1"/>
    <x v="11"/>
    <x v="1092"/>
    <n v="8416.244999999999"/>
    <x v="4"/>
    <x v="11"/>
  </r>
  <r>
    <x v="1386"/>
    <x v="1386"/>
    <s v="We are a classic hard rock/heavy metal band just trying to keep rock alive!"/>
    <n v="400"/>
    <n v="875"/>
    <x v="0"/>
    <x v="0"/>
    <x v="0"/>
    <n v="1438183889"/>
    <n v="1435591889"/>
    <b v="0"/>
    <x v="25"/>
    <b v="1"/>
    <x v="11"/>
    <x v="1093"/>
    <n v="637.5"/>
    <x v="4"/>
    <x v="11"/>
  </r>
  <r>
    <x v="1387"/>
    <x v="1387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x v="76"/>
    <b v="1"/>
    <x v="11"/>
    <x v="1094"/>
    <n v="4732.5"/>
    <x v="4"/>
    <x v="11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x v="300"/>
    <b v="1"/>
    <x v="11"/>
    <x v="1095"/>
    <n v="5870.1849999999995"/>
    <x v="4"/>
    <x v="11"/>
  </r>
  <r>
    <x v="1389"/>
    <x v="1389"/>
    <s v="Help fund the pressing of DANCEHALL's first record by pre-ordering it in advance!!!"/>
    <n v="500"/>
    <n v="727"/>
    <x v="0"/>
    <x v="1"/>
    <x v="1"/>
    <n v="1471087957"/>
    <n v="1468495957"/>
    <b v="0"/>
    <x v="69"/>
    <b v="1"/>
    <x v="11"/>
    <x v="663"/>
    <n v="613.5"/>
    <x v="4"/>
    <x v="11"/>
  </r>
  <r>
    <x v="1390"/>
    <x v="1390"/>
    <s v="Breakout Artist Management will be working with us on a brand new music video and we need your help!"/>
    <n v="2800"/>
    <n v="3055"/>
    <x v="0"/>
    <x v="0"/>
    <x v="0"/>
    <n v="1430154720"/>
    <n v="1427224606"/>
    <b v="0"/>
    <x v="10"/>
    <b v="1"/>
    <x v="11"/>
    <x v="1096"/>
    <n v="2927.5"/>
    <x v="4"/>
    <x v="11"/>
  </r>
  <r>
    <x v="1391"/>
    <x v="1391"/>
    <s v="With the money donated through this project we intend on investing in sound equipment for live shows"/>
    <n v="500"/>
    <n v="551"/>
    <x v="0"/>
    <x v="0"/>
    <x v="0"/>
    <n v="1440219540"/>
    <n v="1436369818"/>
    <b v="0"/>
    <x v="62"/>
    <b v="1"/>
    <x v="11"/>
    <x v="1097"/>
    <n v="525.5"/>
    <x v="4"/>
    <x v="11"/>
  </r>
  <r>
    <x v="1392"/>
    <x v="1392"/>
    <s v="Telesomniac is a rock band from Provo, UT releasing their debut album Thirty-One Flashes in the Dark."/>
    <n v="2500"/>
    <n v="2841"/>
    <x v="0"/>
    <x v="0"/>
    <x v="0"/>
    <n v="1456976586"/>
    <n v="1454298186"/>
    <b v="0"/>
    <x v="201"/>
    <b v="1"/>
    <x v="11"/>
    <x v="1098"/>
    <n v="2670.5"/>
    <x v="4"/>
    <x v="11"/>
  </r>
  <r>
    <x v="1393"/>
    <x v="1393"/>
    <s v="Rock n' Roll tales of our times"/>
    <n v="10000"/>
    <n v="10235"/>
    <x v="0"/>
    <x v="0"/>
    <x v="0"/>
    <n v="1470068523"/>
    <n v="1467476523"/>
    <b v="0"/>
    <x v="47"/>
    <b v="1"/>
    <x v="11"/>
    <x v="1099"/>
    <n v="10117.5"/>
    <x v="4"/>
    <x v="11"/>
  </r>
  <r>
    <x v="1394"/>
    <x v="1394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x v="57"/>
    <b v="1"/>
    <x v="11"/>
    <x v="1100"/>
    <n v="833"/>
    <x v="4"/>
    <x v="11"/>
  </r>
  <r>
    <x v="1395"/>
    <x v="1395"/>
    <s v="Help Quiet Oaks record their debut album!!!"/>
    <n v="3500"/>
    <n v="3916"/>
    <x v="0"/>
    <x v="0"/>
    <x v="0"/>
    <n v="1484430481"/>
    <n v="1481838481"/>
    <b v="0"/>
    <x v="141"/>
    <b v="1"/>
    <x v="11"/>
    <x v="1101"/>
    <n v="3708"/>
    <x v="4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x v="196"/>
    <b v="1"/>
    <x v="11"/>
    <x v="1102"/>
    <n v="6219"/>
    <x v="4"/>
    <x v="11"/>
  </r>
  <r>
    <x v="1397"/>
    <x v="1397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x v="150"/>
    <b v="1"/>
    <x v="11"/>
    <x v="1103"/>
    <n v="10692.5"/>
    <x v="4"/>
    <x v="11"/>
  </r>
  <r>
    <x v="1398"/>
    <x v="1398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x v="71"/>
    <b v="1"/>
    <x v="11"/>
    <x v="1104"/>
    <n v="4613"/>
    <x v="4"/>
    <x v="11"/>
  </r>
  <r>
    <x v="1399"/>
    <x v="1399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x v="192"/>
    <b v="1"/>
    <x v="11"/>
    <x v="1105"/>
    <n v="10176.5"/>
    <x v="4"/>
    <x v="11"/>
  </r>
  <r>
    <x v="1400"/>
    <x v="1400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x v="69"/>
    <b v="1"/>
    <x v="11"/>
    <x v="1106"/>
    <n v="468"/>
    <x v="4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x v="301"/>
    <b v="1"/>
    <x v="11"/>
    <x v="1107"/>
    <n v="7456.5"/>
    <x v="4"/>
    <x v="11"/>
  </r>
  <r>
    <x v="1402"/>
    <x v="1402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x v="116"/>
    <b v="1"/>
    <x v="11"/>
    <x v="1108"/>
    <n v="2614.5"/>
    <x v="4"/>
    <x v="11"/>
  </r>
  <r>
    <x v="1403"/>
    <x v="1403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x v="36"/>
    <b v="1"/>
    <x v="11"/>
    <x v="1109"/>
    <n v="4051.5"/>
    <x v="4"/>
    <x v="11"/>
  </r>
  <r>
    <x v="1404"/>
    <x v="1404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x v="81"/>
    <b v="0"/>
    <x v="22"/>
    <x v="1110"/>
    <n v="7370.5"/>
    <x v="3"/>
    <x v="22"/>
  </r>
  <r>
    <x v="1405"/>
    <x v="1405"/>
    <s v="Will more people read the Bible if it were translated into Emoticons?"/>
    <n v="25000"/>
    <n v="105"/>
    <x v="2"/>
    <x v="0"/>
    <x v="0"/>
    <n v="1417195201"/>
    <n v="1414599601"/>
    <b v="1"/>
    <x v="57"/>
    <b v="0"/>
    <x v="22"/>
    <x v="714"/>
    <n v="12552.5"/>
    <x v="3"/>
    <x v="22"/>
  </r>
  <r>
    <x v="1406"/>
    <x v="1406"/>
    <s v="The White coat and the battle dress uniform"/>
    <n v="12000"/>
    <n v="15"/>
    <x v="2"/>
    <x v="13"/>
    <x v="3"/>
    <n v="1449914400"/>
    <n v="1445336607"/>
    <b v="0"/>
    <x v="83"/>
    <b v="0"/>
    <x v="22"/>
    <x v="415"/>
    <n v="6007.5"/>
    <x v="3"/>
    <x v="22"/>
  </r>
  <r>
    <x v="1407"/>
    <x v="1407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x v="84"/>
    <b v="0"/>
    <x v="22"/>
    <x v="724"/>
    <n v="1507.5"/>
    <x v="3"/>
    <x v="22"/>
  </r>
  <r>
    <x v="1408"/>
    <x v="1408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x v="79"/>
    <b v="0"/>
    <x v="22"/>
    <x v="705"/>
    <n v="536"/>
    <x v="3"/>
    <x v="22"/>
  </r>
  <r>
    <x v="1409"/>
    <x v="1409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x v="78"/>
    <b v="0"/>
    <x v="22"/>
    <x v="109"/>
    <n v="2000"/>
    <x v="3"/>
    <x v="22"/>
  </r>
  <r>
    <x v="1410"/>
    <x v="1410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x v="29"/>
    <b v="0"/>
    <x v="22"/>
    <x v="374"/>
    <n v="3000.5"/>
    <x v="3"/>
    <x v="22"/>
  </r>
  <r>
    <x v="1411"/>
    <x v="1411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x v="83"/>
    <b v="0"/>
    <x v="22"/>
    <x v="1111"/>
    <n v="1503.5"/>
    <x v="3"/>
    <x v="22"/>
  </r>
  <r>
    <x v="1412"/>
    <x v="1412"/>
    <s v="â€œClimbing Silver!â€- An English translation of the Young Adult Shogi novella"/>
    <n v="7000"/>
    <n v="320"/>
    <x v="2"/>
    <x v="0"/>
    <x v="0"/>
    <n v="1417656699"/>
    <n v="1415064699"/>
    <b v="0"/>
    <x v="62"/>
    <b v="0"/>
    <x v="22"/>
    <x v="1112"/>
    <n v="3660"/>
    <x v="3"/>
    <x v="22"/>
  </r>
  <r>
    <x v="1413"/>
    <x v="1413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x v="29"/>
    <b v="0"/>
    <x v="22"/>
    <x v="152"/>
    <n v="1050"/>
    <x v="3"/>
    <x v="22"/>
  </r>
  <r>
    <x v="1414"/>
    <x v="1414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x v="29"/>
    <b v="0"/>
    <x v="22"/>
    <x v="418"/>
    <n v="250.5"/>
    <x v="3"/>
    <x v="22"/>
  </r>
  <r>
    <x v="1415"/>
    <x v="1415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x v="82"/>
    <b v="0"/>
    <x v="22"/>
    <x v="1113"/>
    <n v="2600"/>
    <x v="3"/>
    <x v="22"/>
  </r>
  <r>
    <x v="1416"/>
    <x v="1416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x v="78"/>
    <b v="0"/>
    <x v="22"/>
    <x v="109"/>
    <n v="25000"/>
    <x v="3"/>
    <x v="22"/>
  </r>
  <r>
    <x v="1417"/>
    <x v="1417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x v="84"/>
    <b v="0"/>
    <x v="22"/>
    <x v="1114"/>
    <n v="2277.5"/>
    <x v="3"/>
    <x v="22"/>
  </r>
  <r>
    <x v="1418"/>
    <x v="1418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x v="29"/>
    <b v="0"/>
    <x v="22"/>
    <x v="418"/>
    <n v="1503"/>
    <x v="3"/>
    <x v="22"/>
  </r>
  <r>
    <x v="1419"/>
    <x v="1419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x v="73"/>
    <b v="0"/>
    <x v="22"/>
    <x v="1115"/>
    <n v="3372.5"/>
    <x v="3"/>
    <x v="22"/>
  </r>
  <r>
    <x v="1420"/>
    <x v="1420"/>
    <s v="Help me butcher Shakespeare in a satirical fashion."/>
    <n v="110"/>
    <n v="3"/>
    <x v="2"/>
    <x v="0"/>
    <x v="0"/>
    <n v="1467129686"/>
    <n v="1464969686"/>
    <b v="0"/>
    <x v="83"/>
    <b v="0"/>
    <x v="22"/>
    <x v="1116"/>
    <n v="56.5"/>
    <x v="3"/>
    <x v="22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x v="84"/>
    <b v="0"/>
    <x v="22"/>
    <x v="370"/>
    <n v="100100"/>
    <x v="3"/>
    <x v="22"/>
  </r>
  <r>
    <x v="1422"/>
    <x v="1422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x v="84"/>
    <b v="0"/>
    <x v="22"/>
    <x v="477"/>
    <n v="12513"/>
    <x v="3"/>
    <x v="22"/>
  </r>
  <r>
    <x v="1423"/>
    <x v="1423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x v="29"/>
    <b v="0"/>
    <x v="22"/>
    <x v="119"/>
    <n v="15050"/>
    <x v="3"/>
    <x v="22"/>
  </r>
  <r>
    <x v="1424"/>
    <x v="1424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x v="25"/>
    <b v="0"/>
    <x v="22"/>
    <x v="1117"/>
    <n v="4513.5"/>
    <x v="3"/>
    <x v="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x v="78"/>
    <b v="0"/>
    <x v="22"/>
    <x v="109"/>
    <n v="6500"/>
    <x v="3"/>
    <x v="22"/>
  </r>
  <r>
    <x v="1426"/>
    <x v="1426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x v="78"/>
    <b v="0"/>
    <x v="22"/>
    <x v="109"/>
    <n v="500"/>
    <x v="3"/>
    <x v="22"/>
  </r>
  <r>
    <x v="1427"/>
    <x v="1427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x v="80"/>
    <b v="0"/>
    <x v="22"/>
    <x v="1118"/>
    <n v="2709.5"/>
    <x v="3"/>
    <x v="22"/>
  </r>
  <r>
    <x v="1428"/>
    <x v="1428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x v="83"/>
    <b v="0"/>
    <x v="22"/>
    <x v="684"/>
    <n v="522.5"/>
    <x v="3"/>
    <x v="22"/>
  </r>
  <r>
    <x v="1429"/>
    <x v="1429"/>
    <s v="A guy in his 30's tries to live his &quot;American Dream&quot;, but quickly it turns into a nightmare. (A Novel)"/>
    <n v="10000"/>
    <n v="0"/>
    <x v="2"/>
    <x v="0"/>
    <x v="0"/>
    <n v="1428629242"/>
    <n v="1426037242"/>
    <b v="0"/>
    <x v="78"/>
    <b v="0"/>
    <x v="22"/>
    <x v="109"/>
    <n v="5000"/>
    <x v="3"/>
    <x v="22"/>
  </r>
  <r>
    <x v="1430"/>
    <x v="1430"/>
    <s v="Profesional translation and publishing of the book on unique synthesis of project management and meditation"/>
    <n v="5000"/>
    <n v="403"/>
    <x v="2"/>
    <x v="0"/>
    <x v="0"/>
    <n v="1419017488"/>
    <n v="1416339088"/>
    <b v="0"/>
    <x v="81"/>
    <b v="0"/>
    <x v="22"/>
    <x v="1119"/>
    <n v="2701.5"/>
    <x v="3"/>
    <x v="22"/>
  </r>
  <r>
    <x v="1431"/>
    <x v="1431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x v="5"/>
    <b v="0"/>
    <x v="22"/>
    <x v="1120"/>
    <n v="11215.5"/>
    <x v="3"/>
    <x v="22"/>
  </r>
  <r>
    <x v="1432"/>
    <x v="1432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x v="78"/>
    <b v="0"/>
    <x v="22"/>
    <x v="109"/>
    <n v="20000"/>
    <x v="3"/>
    <x v="22"/>
  </r>
  <r>
    <x v="1433"/>
    <x v="1433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x v="73"/>
    <b v="0"/>
    <x v="22"/>
    <x v="1121"/>
    <n v="6402.5"/>
    <x v="3"/>
    <x v="22"/>
  </r>
  <r>
    <x v="1434"/>
    <x v="1434"/>
    <s v="Interest from abroad to publish my book SOCIALCAPITALISM. Need translation to English master. Help appreciated."/>
    <n v="82000"/>
    <n v="8190"/>
    <x v="2"/>
    <x v="8"/>
    <x v="7"/>
    <n v="1433775600"/>
    <n v="1431973478"/>
    <b v="0"/>
    <x v="202"/>
    <b v="0"/>
    <x v="22"/>
    <x v="1122"/>
    <n v="45095"/>
    <x v="3"/>
    <x v="22"/>
  </r>
  <r>
    <x v="1435"/>
    <x v="1435"/>
    <s v="English translation of the first book from a sword and sorcery Fantasy trilogy, by Paolo Parente"/>
    <n v="15000"/>
    <n v="15"/>
    <x v="2"/>
    <x v="13"/>
    <x v="3"/>
    <n v="1444589020"/>
    <n v="1441997020"/>
    <b v="0"/>
    <x v="84"/>
    <b v="0"/>
    <x v="22"/>
    <x v="370"/>
    <n v="7507.5"/>
    <x v="3"/>
    <x v="22"/>
  </r>
  <r>
    <x v="1436"/>
    <x v="1436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x v="84"/>
    <b v="0"/>
    <x v="22"/>
    <x v="1123"/>
    <n v="5038.5"/>
    <x v="3"/>
    <x v="22"/>
  </r>
  <r>
    <x v="1437"/>
    <x v="1437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x v="19"/>
    <b v="0"/>
    <x v="22"/>
    <x v="1124"/>
    <n v="1903.5"/>
    <x v="3"/>
    <x v="22"/>
  </r>
  <r>
    <x v="1438"/>
    <x v="1438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x v="22"/>
    <b v="0"/>
    <x v="22"/>
    <x v="419"/>
    <n v="10300"/>
    <x v="3"/>
    <x v="22"/>
  </r>
  <r>
    <x v="1439"/>
    <x v="1439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x v="79"/>
    <b v="0"/>
    <x v="22"/>
    <x v="1125"/>
    <n v="1452.5"/>
    <x v="3"/>
    <x v="22"/>
  </r>
  <r>
    <x v="1440"/>
    <x v="1440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x v="29"/>
    <b v="0"/>
    <x v="22"/>
    <x v="1126"/>
    <n v="6500.5"/>
    <x v="3"/>
    <x v="22"/>
  </r>
  <r>
    <x v="1441"/>
    <x v="1441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x v="83"/>
    <b v="0"/>
    <x v="22"/>
    <x v="1127"/>
    <n v="91010"/>
    <x v="3"/>
    <x v="22"/>
  </r>
  <r>
    <x v="1442"/>
    <x v="1442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x v="78"/>
    <b v="0"/>
    <x v="22"/>
    <x v="109"/>
    <n v="750"/>
    <x v="3"/>
    <x v="22"/>
  </r>
  <r>
    <x v="1443"/>
    <x v="1443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x v="78"/>
    <b v="0"/>
    <x v="22"/>
    <x v="109"/>
    <n v="6500"/>
    <x v="3"/>
    <x v="22"/>
  </r>
  <r>
    <x v="1444"/>
    <x v="1444"/>
    <s v="We as a successfull german stock market newsletter publisher want expand in the US market!"/>
    <n v="4950"/>
    <n v="0"/>
    <x v="2"/>
    <x v="12"/>
    <x v="3"/>
    <n v="1442091462"/>
    <n v="1436907462"/>
    <b v="0"/>
    <x v="78"/>
    <b v="0"/>
    <x v="22"/>
    <x v="109"/>
    <n v="2475"/>
    <x v="3"/>
    <x v="22"/>
  </r>
  <r>
    <x v="1445"/>
    <x v="1445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x v="78"/>
    <b v="0"/>
    <x v="22"/>
    <x v="109"/>
    <n v="65000"/>
    <x v="3"/>
    <x v="22"/>
  </r>
  <r>
    <x v="1446"/>
    <x v="1446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x v="78"/>
    <b v="0"/>
    <x v="22"/>
    <x v="109"/>
    <n v="450"/>
    <x v="3"/>
    <x v="22"/>
  </r>
  <r>
    <x v="1447"/>
    <x v="1447"/>
    <s v="I'm creating a dictionary of multiple Indian languages."/>
    <n v="500000"/>
    <n v="75"/>
    <x v="2"/>
    <x v="0"/>
    <x v="0"/>
    <n v="1467999134"/>
    <n v="1465407134"/>
    <b v="0"/>
    <x v="83"/>
    <b v="0"/>
    <x v="22"/>
    <x v="1128"/>
    <n v="250037.5"/>
    <x v="3"/>
    <x v="22"/>
  </r>
  <r>
    <x v="1448"/>
    <x v="1448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x v="78"/>
    <b v="0"/>
    <x v="22"/>
    <x v="109"/>
    <n v="100000"/>
    <x v="3"/>
    <x v="22"/>
  </r>
  <r>
    <x v="1449"/>
    <x v="1449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x v="78"/>
    <b v="0"/>
    <x v="22"/>
    <x v="109"/>
    <n v="4444"/>
    <x v="3"/>
    <x v="22"/>
  </r>
  <r>
    <x v="1450"/>
    <x v="1450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x v="29"/>
    <b v="0"/>
    <x v="22"/>
    <x v="1129"/>
    <n v="50000.5"/>
    <x v="3"/>
    <x v="22"/>
  </r>
  <r>
    <x v="1451"/>
    <x v="1451"/>
    <s v="Modern Literal Translation of the Torah in English and Russian with sub-linear and interlinear layout."/>
    <n v="18950"/>
    <n v="2"/>
    <x v="1"/>
    <x v="0"/>
    <x v="0"/>
    <n v="1416355259"/>
    <n v="1413759659"/>
    <b v="0"/>
    <x v="84"/>
    <b v="0"/>
    <x v="22"/>
    <x v="1130"/>
    <n v="9476"/>
    <x v="3"/>
    <x v="22"/>
  </r>
  <r>
    <x v="1452"/>
    <x v="1452"/>
    <s v="I am gathering rare, out-of-print Judo books for preservation, translation and sharing."/>
    <n v="14000"/>
    <n v="0"/>
    <x v="1"/>
    <x v="0"/>
    <x v="0"/>
    <n v="1406566363"/>
    <n v="1403974363"/>
    <b v="0"/>
    <x v="78"/>
    <b v="0"/>
    <x v="22"/>
    <x v="109"/>
    <n v="7000"/>
    <x v="3"/>
    <x v="22"/>
  </r>
  <r>
    <x v="1453"/>
    <x v="1453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x v="78"/>
    <b v="0"/>
    <x v="22"/>
    <x v="109"/>
    <n v="12500"/>
    <x v="3"/>
    <x v="22"/>
  </r>
  <r>
    <x v="1454"/>
    <x v="1454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x v="29"/>
    <b v="0"/>
    <x v="22"/>
    <x v="719"/>
    <n v="882.5"/>
    <x v="3"/>
    <x v="22"/>
  </r>
  <r>
    <x v="1455"/>
    <x v="1455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x v="63"/>
    <b v="0"/>
    <x v="22"/>
    <x v="1131"/>
    <n v="8287.5"/>
    <x v="3"/>
    <x v="22"/>
  </r>
  <r>
    <x v="1456"/>
    <x v="1456"/>
    <s v="English Version of my auto-published novel"/>
    <n v="5000"/>
    <n v="145"/>
    <x v="1"/>
    <x v="13"/>
    <x v="3"/>
    <n v="1483459365"/>
    <n v="1480867365"/>
    <b v="0"/>
    <x v="83"/>
    <b v="0"/>
    <x v="22"/>
    <x v="1132"/>
    <n v="2572.5"/>
    <x v="3"/>
    <x v="22"/>
  </r>
  <r>
    <x v="1457"/>
    <x v="1457"/>
    <s v="Age is more than just a number, I hope your younger than you feel."/>
    <n v="6000"/>
    <n v="0"/>
    <x v="1"/>
    <x v="0"/>
    <x v="0"/>
    <n v="1447281044"/>
    <n v="1444685444"/>
    <b v="0"/>
    <x v="78"/>
    <b v="0"/>
    <x v="22"/>
    <x v="109"/>
    <n v="3000"/>
    <x v="3"/>
    <x v="22"/>
  </r>
  <r>
    <x v="1458"/>
    <x v="1458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x v="78"/>
    <b v="0"/>
    <x v="22"/>
    <x v="109"/>
    <n v="2500"/>
    <x v="3"/>
    <x v="22"/>
  </r>
  <r>
    <x v="1459"/>
    <x v="1459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x v="78"/>
    <b v="0"/>
    <x v="22"/>
    <x v="109"/>
    <n v="18500"/>
    <x v="3"/>
    <x v="22"/>
  </r>
  <r>
    <x v="1460"/>
    <x v="1460"/>
    <s v="KJV2015 Easier to understand for our kids and family not leaving out one verse or changing a meaning one bit."/>
    <n v="25000000"/>
    <n v="0"/>
    <x v="1"/>
    <x v="0"/>
    <x v="0"/>
    <n v="1417391100"/>
    <n v="1412371898"/>
    <b v="0"/>
    <x v="78"/>
    <b v="0"/>
    <x v="22"/>
    <x v="109"/>
    <n v="12500000"/>
    <x v="3"/>
    <x v="22"/>
  </r>
  <r>
    <x v="1461"/>
    <x v="1461"/>
    <s v="Series 2 of Relatively Prime, a podcast of stories from the Mathematical Domain"/>
    <n v="15000"/>
    <n v="15186.69"/>
    <x v="0"/>
    <x v="0"/>
    <x v="0"/>
    <n v="1413849600"/>
    <n v="1410967754"/>
    <b v="1"/>
    <x v="158"/>
    <b v="1"/>
    <x v="23"/>
    <x v="1133"/>
    <n v="15093.345000000001"/>
    <x v="3"/>
    <x v="23"/>
  </r>
  <r>
    <x v="1462"/>
    <x v="1462"/>
    <s v="A new radio show focused on short fiction produced by Louisville Public Media"/>
    <n v="4000"/>
    <n v="4340.7"/>
    <x v="0"/>
    <x v="0"/>
    <x v="0"/>
    <n v="1365609271"/>
    <n v="1363017271"/>
    <b v="1"/>
    <x v="3"/>
    <b v="1"/>
    <x v="23"/>
    <x v="1134"/>
    <n v="4170.3500000000004"/>
    <x v="3"/>
    <x v="23"/>
  </r>
  <r>
    <x v="1463"/>
    <x v="1463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x v="20"/>
    <b v="1"/>
    <x v="23"/>
    <x v="1135"/>
    <n v="743"/>
    <x v="3"/>
    <x v="23"/>
  </r>
  <r>
    <x v="1464"/>
    <x v="1464"/>
    <s v="The Best Science Media on the Web"/>
    <n v="5000"/>
    <n v="8160"/>
    <x v="0"/>
    <x v="0"/>
    <x v="0"/>
    <n v="1361029958"/>
    <n v="1358437958"/>
    <b v="1"/>
    <x v="302"/>
    <b v="1"/>
    <x v="23"/>
    <x v="1136"/>
    <n v="6580"/>
    <x v="3"/>
    <x v="23"/>
  </r>
  <r>
    <x v="1465"/>
    <x v="1465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x v="303"/>
    <b v="1"/>
    <x v="23"/>
    <x v="1137"/>
    <n v="83462.175000000003"/>
    <x v="3"/>
    <x v="23"/>
  </r>
  <r>
    <x v="1466"/>
    <x v="1466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x v="290"/>
    <b v="1"/>
    <x v="23"/>
    <x v="1138"/>
    <n v="16630.184999999998"/>
    <x v="3"/>
    <x v="23"/>
  </r>
  <r>
    <x v="1467"/>
    <x v="1467"/>
    <s v="We are a new Spanish language podcast telling uniquely Latin American stories."/>
    <n v="40000"/>
    <n v="46032"/>
    <x v="0"/>
    <x v="0"/>
    <x v="0"/>
    <n v="1332699285"/>
    <n v="1327518885"/>
    <b v="1"/>
    <x v="304"/>
    <b v="1"/>
    <x v="23"/>
    <x v="1139"/>
    <n v="43016"/>
    <x v="3"/>
    <x v="23"/>
  </r>
  <r>
    <x v="1468"/>
    <x v="1468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x v="305"/>
    <b v="1"/>
    <x v="23"/>
    <x v="1140"/>
    <n v="9612.5"/>
    <x v="3"/>
    <x v="23"/>
  </r>
  <r>
    <x v="1469"/>
    <x v="1469"/>
    <s v="Get the inside edge on the stories that connect Americans to the world -- in your ear every week."/>
    <n v="44250"/>
    <n v="47978"/>
    <x v="0"/>
    <x v="0"/>
    <x v="0"/>
    <n v="1360938109"/>
    <n v="1358346109"/>
    <b v="1"/>
    <x v="306"/>
    <b v="1"/>
    <x v="23"/>
    <x v="1141"/>
    <n v="46114"/>
    <x v="3"/>
    <x v="23"/>
  </r>
  <r>
    <x v="1470"/>
    <x v="1470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x v="75"/>
    <b v="1"/>
    <x v="23"/>
    <x v="1142"/>
    <n v="1688.5"/>
    <x v="3"/>
    <x v="23"/>
  </r>
  <r>
    <x v="1471"/>
    <x v="1471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x v="307"/>
    <b v="1"/>
    <x v="23"/>
    <x v="1143"/>
    <n v="32614.5"/>
    <x v="3"/>
    <x v="23"/>
  </r>
  <r>
    <x v="1472"/>
    <x v="147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x v="226"/>
    <b v="1"/>
    <x v="23"/>
    <x v="1144"/>
    <n v="29838"/>
    <x v="3"/>
    <x v="23"/>
  </r>
  <r>
    <x v="1473"/>
    <x v="1473"/>
    <s v="Public Radio Project"/>
    <n v="1500"/>
    <n v="1807.74"/>
    <x v="0"/>
    <x v="0"/>
    <x v="0"/>
    <n v="1330644639"/>
    <n v="1328052639"/>
    <b v="1"/>
    <x v="5"/>
    <b v="1"/>
    <x v="23"/>
    <x v="1145"/>
    <n v="1653.87"/>
    <x v="3"/>
    <x v="23"/>
  </r>
  <r>
    <x v="1474"/>
    <x v="1474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x v="88"/>
    <b v="1"/>
    <x v="23"/>
    <x v="1146"/>
    <n v="3184"/>
    <x v="3"/>
    <x v="23"/>
  </r>
  <r>
    <x v="1475"/>
    <x v="1475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x v="308"/>
    <b v="1"/>
    <x v="23"/>
    <x v="1147"/>
    <n v="21650.224999999999"/>
    <x v="3"/>
    <x v="23"/>
  </r>
  <r>
    <x v="1476"/>
    <x v="1476"/>
    <s v="The Comedy Button is a brand new nerd pop culture podcast with weekly video sketches."/>
    <n v="6000"/>
    <n v="39693.279999999999"/>
    <x v="0"/>
    <x v="0"/>
    <x v="0"/>
    <n v="1315616422"/>
    <n v="1313024422"/>
    <b v="1"/>
    <x v="309"/>
    <b v="1"/>
    <x v="23"/>
    <x v="1148"/>
    <n v="22846.639999999999"/>
    <x v="3"/>
    <x v="23"/>
  </r>
  <r>
    <x v="1477"/>
    <x v="1477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x v="232"/>
    <b v="1"/>
    <x v="23"/>
    <x v="1149"/>
    <n v="31696.5"/>
    <x v="3"/>
    <x v="23"/>
  </r>
  <r>
    <x v="1478"/>
    <x v="1478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x v="310"/>
    <b v="1"/>
    <x v="23"/>
    <x v="1150"/>
    <n v="320403.55499999999"/>
    <x v="3"/>
    <x v="23"/>
  </r>
  <r>
    <x v="1479"/>
    <x v="1479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x v="26"/>
    <b v="1"/>
    <x v="23"/>
    <x v="1151"/>
    <n v="1899"/>
    <x v="3"/>
    <x v="23"/>
  </r>
  <r>
    <x v="1480"/>
    <x v="1480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x v="311"/>
    <b v="1"/>
    <x v="23"/>
    <x v="1152"/>
    <n v="54260.1"/>
    <x v="3"/>
    <x v="23"/>
  </r>
  <r>
    <x v="1481"/>
    <x v="1481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x v="79"/>
    <b v="0"/>
    <x v="10"/>
    <x v="1153"/>
    <n v="2552.5"/>
    <x v="3"/>
    <x v="10"/>
  </r>
  <r>
    <x v="1482"/>
    <x v="1482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x v="29"/>
    <b v="0"/>
    <x v="10"/>
    <x v="370"/>
    <n v="2502.5"/>
    <x v="3"/>
    <x v="10"/>
  </r>
  <r>
    <x v="1483"/>
    <x v="1483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x v="84"/>
    <b v="0"/>
    <x v="10"/>
    <x v="1154"/>
    <n v="3525"/>
    <x v="3"/>
    <x v="10"/>
  </r>
  <r>
    <x v="1484"/>
    <x v="1484"/>
    <s v="The mussings of an old wizard"/>
    <n v="2000"/>
    <n v="0"/>
    <x v="2"/>
    <x v="0"/>
    <x v="0"/>
    <n v="1342882260"/>
    <n v="1337834963"/>
    <b v="0"/>
    <x v="78"/>
    <b v="0"/>
    <x v="10"/>
    <x v="109"/>
    <n v="1000"/>
    <x v="3"/>
    <x v="10"/>
  </r>
  <r>
    <x v="1485"/>
    <x v="1485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x v="83"/>
    <b v="0"/>
    <x v="10"/>
    <x v="1155"/>
    <n v="3425"/>
    <x v="3"/>
    <x v="10"/>
  </r>
  <r>
    <x v="1486"/>
    <x v="1486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x v="83"/>
    <b v="0"/>
    <x v="10"/>
    <x v="1156"/>
    <n v="10024"/>
    <x v="3"/>
    <x v="10"/>
  </r>
  <r>
    <x v="1487"/>
    <x v="1487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x v="78"/>
    <b v="0"/>
    <x v="10"/>
    <x v="109"/>
    <n v="5000"/>
    <x v="3"/>
    <x v="10"/>
  </r>
  <r>
    <x v="1488"/>
    <x v="1488"/>
    <s v="A blockbuster sci-fi adventure. What would you do if one day your life changed to beyond the imaginable?"/>
    <n v="15000"/>
    <n v="360"/>
    <x v="2"/>
    <x v="2"/>
    <x v="2"/>
    <n v="1388928660"/>
    <n v="1386336660"/>
    <b v="0"/>
    <x v="79"/>
    <b v="0"/>
    <x v="10"/>
    <x v="365"/>
    <n v="7680"/>
    <x v="3"/>
    <x v="10"/>
  </r>
  <r>
    <x v="1489"/>
    <x v="1489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x v="78"/>
    <b v="0"/>
    <x v="10"/>
    <x v="109"/>
    <n v="2500"/>
    <x v="3"/>
    <x v="10"/>
  </r>
  <r>
    <x v="1490"/>
    <x v="1490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x v="10"/>
    <b v="0"/>
    <x v="10"/>
    <x v="1157"/>
    <n v="1897.5"/>
    <x v="3"/>
    <x v="10"/>
  </r>
  <r>
    <x v="1491"/>
    <x v="1491"/>
    <s v="What do you get when you take outlaws, guns, gold and and old beagle in the old west? Adventure!"/>
    <n v="1200"/>
    <n v="100"/>
    <x v="2"/>
    <x v="0"/>
    <x v="0"/>
    <n v="1424014680"/>
    <n v="1418922443"/>
    <b v="0"/>
    <x v="29"/>
    <b v="0"/>
    <x v="10"/>
    <x v="1158"/>
    <n v="650"/>
    <x v="3"/>
    <x v="1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x v="84"/>
    <b v="0"/>
    <x v="10"/>
    <x v="571"/>
    <n v="2015"/>
    <x v="3"/>
    <x v="10"/>
  </r>
  <r>
    <x v="1493"/>
    <x v="1493"/>
    <s v="Help illustrate the sequel to the bestselling _x000a_The Transylvania Flying Squad of Detectives"/>
    <n v="2400"/>
    <n v="0"/>
    <x v="2"/>
    <x v="0"/>
    <x v="0"/>
    <n v="1371415675"/>
    <n v="1368823675"/>
    <b v="0"/>
    <x v="78"/>
    <b v="0"/>
    <x v="10"/>
    <x v="109"/>
    <n v="1200"/>
    <x v="3"/>
    <x v="10"/>
  </r>
  <r>
    <x v="1494"/>
    <x v="1494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x v="202"/>
    <b v="0"/>
    <x v="10"/>
    <x v="1159"/>
    <n v="2722.5"/>
    <x v="3"/>
    <x v="10"/>
  </r>
  <r>
    <x v="1495"/>
    <x v="1495"/>
    <s v="The Adventures of Penelope Hawthorne. Part One: The Spellbook of Dracone."/>
    <n v="2000"/>
    <n v="0"/>
    <x v="2"/>
    <x v="0"/>
    <x v="0"/>
    <n v="1314471431"/>
    <n v="1311879431"/>
    <b v="0"/>
    <x v="78"/>
    <b v="0"/>
    <x v="10"/>
    <x v="109"/>
    <n v="1000"/>
    <x v="3"/>
    <x v="10"/>
  </r>
  <r>
    <x v="1496"/>
    <x v="1496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x v="78"/>
    <b v="0"/>
    <x v="10"/>
    <x v="109"/>
    <n v="750"/>
    <x v="3"/>
    <x v="10"/>
  </r>
  <r>
    <x v="1497"/>
    <x v="1497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x v="29"/>
    <b v="0"/>
    <x v="10"/>
    <x v="440"/>
    <n v="7500.5"/>
    <x v="3"/>
    <x v="10"/>
  </r>
  <r>
    <x v="1498"/>
    <x v="1498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x v="83"/>
    <b v="0"/>
    <x v="10"/>
    <x v="1160"/>
    <n v="1528.5"/>
    <x v="3"/>
    <x v="10"/>
  </r>
  <r>
    <x v="1499"/>
    <x v="1499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x v="29"/>
    <b v="0"/>
    <x v="10"/>
    <x v="1161"/>
    <n v="1002.5"/>
    <x v="3"/>
    <x v="10"/>
  </r>
  <r>
    <x v="1500"/>
    <x v="1500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x v="41"/>
    <b v="0"/>
    <x v="10"/>
    <x v="1162"/>
    <n v="1750.5"/>
    <x v="3"/>
    <x v="10"/>
  </r>
  <r>
    <x v="1501"/>
    <x v="1501"/>
    <s v="A hardcover book of surf, outdoor and nature photos from the British Columbia coast."/>
    <n v="52000"/>
    <n v="86492"/>
    <x v="0"/>
    <x v="5"/>
    <x v="5"/>
    <n v="1436364023"/>
    <n v="1433772023"/>
    <b v="1"/>
    <x v="312"/>
    <b v="1"/>
    <x v="20"/>
    <x v="1163"/>
    <n v="69246"/>
    <x v="8"/>
    <x v="20"/>
  </r>
  <r>
    <x v="1502"/>
    <x v="1502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x v="313"/>
    <b v="1"/>
    <x v="20"/>
    <x v="1164"/>
    <n v="22159"/>
    <x v="8"/>
    <x v="20"/>
  </r>
  <r>
    <x v="1503"/>
    <x v="1503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x v="26"/>
    <b v="1"/>
    <x v="20"/>
    <x v="1165"/>
    <n v="3897.9650000000001"/>
    <x v="8"/>
    <x v="20"/>
  </r>
  <r>
    <x v="1504"/>
    <x v="1504"/>
    <s v="A football photography book like no other about the 2014 World Cup in Brazil, by Ryu Voelkel."/>
    <n v="6500"/>
    <n v="18066"/>
    <x v="0"/>
    <x v="1"/>
    <x v="1"/>
    <n v="1402389180"/>
    <n v="1399996024"/>
    <b v="1"/>
    <x v="314"/>
    <b v="1"/>
    <x v="20"/>
    <x v="1166"/>
    <n v="12283"/>
    <x v="8"/>
    <x v="2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x v="315"/>
    <b v="1"/>
    <x v="20"/>
    <x v="1167"/>
    <n v="16286.5"/>
    <x v="8"/>
    <x v="20"/>
  </r>
  <r>
    <x v="1506"/>
    <x v="1506"/>
    <s v="A photographic book consisting of 36 colour photographs that explore Holden Lane High School in its final state."/>
    <n v="1500"/>
    <n v="1671"/>
    <x v="0"/>
    <x v="1"/>
    <x v="1"/>
    <n v="1406227904"/>
    <n v="1403635904"/>
    <b v="1"/>
    <x v="68"/>
    <b v="1"/>
    <x v="20"/>
    <x v="209"/>
    <n v="1585.5"/>
    <x v="8"/>
    <x v="20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x v="51"/>
    <b v="1"/>
    <x v="20"/>
    <x v="1168"/>
    <n v="1890"/>
    <x v="8"/>
    <x v="20"/>
  </r>
  <r>
    <x v="1508"/>
    <x v="1508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x v="263"/>
    <b v="1"/>
    <x v="20"/>
    <x v="1169"/>
    <n v="19495.5"/>
    <x v="8"/>
    <x v="20"/>
  </r>
  <r>
    <x v="1509"/>
    <x v="1509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x v="193"/>
    <b v="1"/>
    <x v="20"/>
    <x v="1170"/>
    <n v="19568.61"/>
    <x v="8"/>
    <x v="20"/>
  </r>
  <r>
    <x v="1510"/>
    <x v="1510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x v="316"/>
    <b v="1"/>
    <x v="20"/>
    <x v="1171"/>
    <n v="16082.8"/>
    <x v="8"/>
    <x v="20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x v="190"/>
    <b v="1"/>
    <x v="20"/>
    <x v="1172"/>
    <n v="14825.5"/>
    <x v="8"/>
    <x v="20"/>
  </r>
  <r>
    <x v="1512"/>
    <x v="1512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x v="317"/>
    <b v="1"/>
    <x v="20"/>
    <x v="1173"/>
    <n v="11528.5"/>
    <x v="8"/>
    <x v="20"/>
  </r>
  <r>
    <x v="1513"/>
    <x v="1513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x v="224"/>
    <b v="1"/>
    <x v="20"/>
    <x v="1174"/>
    <n v="10000.75"/>
    <x v="8"/>
    <x v="20"/>
  </r>
  <r>
    <x v="1514"/>
    <x v="1514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x v="282"/>
    <b v="1"/>
    <x v="20"/>
    <x v="1175"/>
    <n v="25809.5"/>
    <x v="8"/>
    <x v="20"/>
  </r>
  <r>
    <x v="1515"/>
    <x v="1515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x v="160"/>
    <b v="1"/>
    <x v="20"/>
    <x v="1176"/>
    <n v="385783.5"/>
    <x v="8"/>
    <x v="20"/>
  </r>
  <r>
    <x v="1516"/>
    <x v="1516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x v="318"/>
    <b v="1"/>
    <x v="20"/>
    <x v="1177"/>
    <n v="17736"/>
    <x v="8"/>
    <x v="20"/>
  </r>
  <r>
    <x v="1517"/>
    <x v="1517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x v="319"/>
    <b v="1"/>
    <x v="20"/>
    <x v="1178"/>
    <n v="19648.5"/>
    <x v="8"/>
    <x v="20"/>
  </r>
  <r>
    <x v="1518"/>
    <x v="1518"/>
    <s v="A photobook of Robin Schwartz's ongoing series with her daughter Amelia."/>
    <n v="15000"/>
    <n v="30805"/>
    <x v="0"/>
    <x v="0"/>
    <x v="0"/>
    <n v="1401565252"/>
    <n v="1398973252"/>
    <b v="1"/>
    <x v="163"/>
    <b v="1"/>
    <x v="20"/>
    <x v="1179"/>
    <n v="22902.5"/>
    <x v="8"/>
    <x v="20"/>
  </r>
  <r>
    <x v="1519"/>
    <x v="1519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x v="108"/>
    <b v="1"/>
    <x v="20"/>
    <x v="1180"/>
    <n v="9151.375"/>
    <x v="8"/>
    <x v="20"/>
  </r>
  <r>
    <x v="1520"/>
    <x v="1520"/>
    <s v="A self-published photography book by Andrew Miksys from his new series about Belarus"/>
    <n v="18000"/>
    <n v="18625"/>
    <x v="0"/>
    <x v="0"/>
    <x v="0"/>
    <n v="1418961600"/>
    <n v="1415824513"/>
    <b v="1"/>
    <x v="157"/>
    <b v="1"/>
    <x v="20"/>
    <x v="1181"/>
    <n v="18312.5"/>
    <x v="8"/>
    <x v="20"/>
  </r>
  <r>
    <x v="1521"/>
    <x v="1521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x v="97"/>
    <b v="1"/>
    <x v="20"/>
    <x v="1182"/>
    <n v="38777.5"/>
    <x v="8"/>
    <x v="20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x v="320"/>
    <b v="1"/>
    <x v="20"/>
    <x v="1183"/>
    <n v="51975.05"/>
    <x v="8"/>
    <x v="20"/>
  </r>
  <r>
    <x v="1523"/>
    <x v="1523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x v="198"/>
    <b v="1"/>
    <x v="20"/>
    <x v="1184"/>
    <n v="20798"/>
    <x v="8"/>
    <x v="20"/>
  </r>
  <r>
    <x v="1524"/>
    <x v="1524"/>
    <s v="Limited edition split zine by photographers AdeY and Kersti K. 100 signed and hand numbered copies!"/>
    <n v="3000"/>
    <n v="6210"/>
    <x v="0"/>
    <x v="11"/>
    <x v="9"/>
    <n v="1487592090"/>
    <n v="1485000090"/>
    <b v="1"/>
    <x v="33"/>
    <b v="1"/>
    <x v="20"/>
    <x v="1185"/>
    <n v="4605"/>
    <x v="8"/>
    <x v="2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x v="205"/>
    <b v="1"/>
    <x v="20"/>
    <x v="1186"/>
    <n v="3562.0749999999998"/>
    <x v="8"/>
    <x v="20"/>
  </r>
  <r>
    <x v="1526"/>
    <x v="1526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x v="321"/>
    <b v="1"/>
    <x v="20"/>
    <x v="1187"/>
    <n v="25337.5"/>
    <x v="8"/>
    <x v="20"/>
  </r>
  <r>
    <x v="1527"/>
    <x v="1527"/>
    <s v="Eight creatives visited Japan. This is a unique photo-book of their separate but collected experiences."/>
    <n v="3500"/>
    <n v="3865.55"/>
    <x v="0"/>
    <x v="0"/>
    <x v="0"/>
    <n v="1489497886"/>
    <n v="1487082286"/>
    <b v="1"/>
    <x v="16"/>
    <b v="1"/>
    <x v="20"/>
    <x v="1188"/>
    <n v="3682.7750000000001"/>
    <x v="8"/>
    <x v="20"/>
  </r>
  <r>
    <x v="1528"/>
    <x v="1528"/>
    <s v="A book of street photos from around Shibuya that I've made between 2011-2016."/>
    <n v="3000"/>
    <n v="8447"/>
    <x v="0"/>
    <x v="0"/>
    <x v="0"/>
    <n v="1485907200"/>
    <n v="1483292122"/>
    <b v="1"/>
    <x v="322"/>
    <b v="1"/>
    <x v="20"/>
    <x v="1189"/>
    <n v="5723.5"/>
    <x v="8"/>
    <x v="20"/>
  </r>
  <r>
    <x v="1529"/>
    <x v="1529"/>
    <s v="An empowering photo book that transforms hurtful experiences into strength and solidarity."/>
    <n v="19000"/>
    <n v="19129"/>
    <x v="0"/>
    <x v="0"/>
    <x v="0"/>
    <n v="1426773920"/>
    <n v="1424185520"/>
    <b v="1"/>
    <x v="261"/>
    <b v="1"/>
    <x v="20"/>
    <x v="1190"/>
    <n v="19064.5"/>
    <x v="8"/>
    <x v="20"/>
  </r>
  <r>
    <x v="1530"/>
    <x v="1530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x v="323"/>
    <b v="1"/>
    <x v="20"/>
    <x v="1191"/>
    <n v="41094.5"/>
    <x v="8"/>
    <x v="20"/>
  </r>
  <r>
    <x v="1531"/>
    <x v="1531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x v="196"/>
    <b v="1"/>
    <x v="20"/>
    <x v="1192"/>
    <n v="3242.5"/>
    <x v="8"/>
    <x v="20"/>
  </r>
  <r>
    <x v="1532"/>
    <x v="1532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x v="324"/>
    <b v="1"/>
    <x v="20"/>
    <x v="1193"/>
    <n v="14600.5"/>
    <x v="8"/>
    <x v="20"/>
  </r>
  <r>
    <x v="1533"/>
    <x v="1533"/>
    <s v="This is an intimate story about a family, focusing on their love and strength in the face of mortality."/>
    <n v="45000"/>
    <n v="65313"/>
    <x v="0"/>
    <x v="0"/>
    <x v="0"/>
    <n v="1462161540"/>
    <n v="1457913777"/>
    <b v="1"/>
    <x v="325"/>
    <b v="1"/>
    <x v="20"/>
    <x v="1194"/>
    <n v="55156.5"/>
    <x v="8"/>
    <x v="20"/>
  </r>
  <r>
    <x v="1534"/>
    <x v="1534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x v="232"/>
    <b v="1"/>
    <x v="20"/>
    <x v="1195"/>
    <n v="19415"/>
    <x v="8"/>
    <x v="20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x v="238"/>
    <b v="1"/>
    <x v="20"/>
    <x v="1196"/>
    <n v="4648.5"/>
    <x v="8"/>
    <x v="20"/>
  </r>
  <r>
    <x v="1536"/>
    <x v="1536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x v="326"/>
    <b v="1"/>
    <x v="20"/>
    <x v="1197"/>
    <n v="21018.504999999997"/>
    <x v="8"/>
    <x v="20"/>
  </r>
  <r>
    <x v="1537"/>
    <x v="1537"/>
    <s v="A Photobook about one of the most fascinating places on earth -     the sacred Mount Kailash in Tibet."/>
    <n v="12000"/>
    <n v="21588"/>
    <x v="0"/>
    <x v="12"/>
    <x v="3"/>
    <n v="1470506400"/>
    <n v="1467358427"/>
    <b v="1"/>
    <x v="291"/>
    <b v="1"/>
    <x v="20"/>
    <x v="1198"/>
    <n v="16794"/>
    <x v="8"/>
    <x v="20"/>
  </r>
  <r>
    <x v="1538"/>
    <x v="1538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x v="67"/>
    <b v="1"/>
    <x v="20"/>
    <x v="1199"/>
    <n v="7092"/>
    <x v="8"/>
    <x v="20"/>
  </r>
  <r>
    <x v="1539"/>
    <x v="1539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x v="4"/>
    <b v="1"/>
    <x v="20"/>
    <x v="1200"/>
    <n v="23598.61"/>
    <x v="8"/>
    <x v="20"/>
  </r>
  <r>
    <x v="1540"/>
    <x v="1540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x v="15"/>
    <b v="1"/>
    <x v="20"/>
    <x v="1201"/>
    <n v="16340"/>
    <x v="8"/>
    <x v="20"/>
  </r>
  <r>
    <x v="1541"/>
    <x v="1541"/>
    <s v="My Goal is to travel across Panama with my team and capture the beauty and wildlife throughout the canal."/>
    <n v="18000"/>
    <n v="6"/>
    <x v="2"/>
    <x v="0"/>
    <x v="0"/>
    <n v="1420045538"/>
    <n v="1417453538"/>
    <b v="0"/>
    <x v="84"/>
    <b v="0"/>
    <x v="24"/>
    <x v="108"/>
    <n v="9003"/>
    <x v="8"/>
    <x v="24"/>
  </r>
  <r>
    <x v="1542"/>
    <x v="1542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x v="29"/>
    <b v="0"/>
    <x v="24"/>
    <x v="914"/>
    <n v="260"/>
    <x v="8"/>
    <x v="24"/>
  </r>
  <r>
    <x v="1543"/>
    <x v="1543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x v="29"/>
    <b v="0"/>
    <x v="24"/>
    <x v="1202"/>
    <n v="1130"/>
    <x v="8"/>
    <x v="24"/>
  </r>
  <r>
    <x v="1544"/>
    <x v="1544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x v="78"/>
    <b v="0"/>
    <x v="24"/>
    <x v="109"/>
    <n v="500"/>
    <x v="8"/>
    <x v="24"/>
  </r>
  <r>
    <x v="1545"/>
    <x v="1545"/>
    <s v="&quot;He will not be a wise man who does not study human hearts!&quot;_x000a_Hope in natural art, creation!"/>
    <n v="3000"/>
    <n v="1"/>
    <x v="2"/>
    <x v="0"/>
    <x v="0"/>
    <n v="1425330960"/>
    <n v="1422393234"/>
    <b v="0"/>
    <x v="29"/>
    <b v="0"/>
    <x v="24"/>
    <x v="108"/>
    <n v="1500.5"/>
    <x v="8"/>
    <x v="24"/>
  </r>
  <r>
    <x v="1546"/>
    <x v="1546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x v="202"/>
    <b v="0"/>
    <x v="24"/>
    <x v="1203"/>
    <n v="644.5"/>
    <x v="8"/>
    <x v="24"/>
  </r>
  <r>
    <x v="1547"/>
    <x v="1547"/>
    <s v="I have produced a limited number (100) of five 8x10 prints of mixed photography I would like to share with you."/>
    <n v="20"/>
    <n v="0"/>
    <x v="2"/>
    <x v="0"/>
    <x v="0"/>
    <n v="1487844882"/>
    <n v="1487240082"/>
    <b v="0"/>
    <x v="78"/>
    <b v="0"/>
    <x v="24"/>
    <x v="109"/>
    <n v="10"/>
    <x v="8"/>
    <x v="24"/>
  </r>
  <r>
    <x v="1548"/>
    <x v="1548"/>
    <s v="Beauty is in the eye of the beholder and I want to inspire conservation through color."/>
    <n v="700"/>
    <n v="60"/>
    <x v="2"/>
    <x v="0"/>
    <x v="0"/>
    <n v="1447020620"/>
    <n v="1444425020"/>
    <b v="0"/>
    <x v="29"/>
    <b v="0"/>
    <x v="24"/>
    <x v="1204"/>
    <n v="380"/>
    <x v="8"/>
    <x v="24"/>
  </r>
  <r>
    <x v="1549"/>
    <x v="1549"/>
    <s v="A 2016 calendar collection of landscape and wildlife photographs from award winning photographer, Steve Marler."/>
    <n v="500"/>
    <n v="170"/>
    <x v="2"/>
    <x v="0"/>
    <x v="0"/>
    <n v="1446524159"/>
    <n v="1443928559"/>
    <b v="0"/>
    <x v="79"/>
    <b v="0"/>
    <x v="24"/>
    <x v="481"/>
    <n v="335"/>
    <x v="8"/>
    <x v="24"/>
  </r>
  <r>
    <x v="1550"/>
    <x v="1550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x v="63"/>
    <b v="0"/>
    <x v="24"/>
    <x v="1205"/>
    <n v="425.5"/>
    <x v="8"/>
    <x v="24"/>
  </r>
  <r>
    <x v="1551"/>
    <x v="1551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x v="78"/>
    <b v="0"/>
    <x v="24"/>
    <x v="109"/>
    <n v="1750"/>
    <x v="8"/>
    <x v="24"/>
  </r>
  <r>
    <x v="1552"/>
    <x v="1552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x v="38"/>
    <b v="0"/>
    <x v="24"/>
    <x v="1206"/>
    <n v="3207.5"/>
    <x v="8"/>
    <x v="24"/>
  </r>
  <r>
    <x v="1553"/>
    <x v="1553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x v="78"/>
    <b v="0"/>
    <x v="24"/>
    <x v="109"/>
    <n v="3000"/>
    <x v="8"/>
    <x v="24"/>
  </r>
  <r>
    <x v="1554"/>
    <x v="1554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x v="78"/>
    <b v="0"/>
    <x v="24"/>
    <x v="109"/>
    <n v="10000"/>
    <x v="8"/>
    <x v="24"/>
  </r>
  <r>
    <x v="1555"/>
    <x v="1555"/>
    <s v="I am traveling the coastline of Maine and will be taking pictures of all the scenery and lighthouses in the area."/>
    <n v="750"/>
    <n v="0"/>
    <x v="2"/>
    <x v="0"/>
    <x v="0"/>
    <n v="1442509200"/>
    <n v="1440513832"/>
    <b v="0"/>
    <x v="78"/>
    <b v="0"/>
    <x v="24"/>
    <x v="109"/>
    <n v="375"/>
    <x v="8"/>
    <x v="24"/>
  </r>
  <r>
    <x v="1556"/>
    <x v="1556"/>
    <s v="To gather a collection of photographs for a coffee table book that displays the beauty of Canada's west."/>
    <n v="1500"/>
    <n v="677"/>
    <x v="2"/>
    <x v="5"/>
    <x v="5"/>
    <n v="1467603624"/>
    <n v="1465011624"/>
    <b v="0"/>
    <x v="8"/>
    <b v="0"/>
    <x v="24"/>
    <x v="1207"/>
    <n v="1088.5"/>
    <x v="8"/>
    <x v="24"/>
  </r>
  <r>
    <x v="1557"/>
    <x v="1557"/>
    <s v="I have always been captivated by photography, Now I am trying to set up my own company and publish my pictures."/>
    <n v="2500"/>
    <n v="100"/>
    <x v="2"/>
    <x v="0"/>
    <x v="0"/>
    <n v="1411227633"/>
    <n v="1408549233"/>
    <b v="0"/>
    <x v="29"/>
    <b v="0"/>
    <x v="24"/>
    <x v="914"/>
    <n v="1300"/>
    <x v="8"/>
    <x v="24"/>
  </r>
  <r>
    <x v="1558"/>
    <x v="1558"/>
    <s v="A large 2016 wall-calendar (A3 when open) featuring 12 stunning photographs by Lucy Wood."/>
    <n v="750"/>
    <n v="35"/>
    <x v="2"/>
    <x v="1"/>
    <x v="1"/>
    <n v="1440763920"/>
    <n v="1435656759"/>
    <b v="0"/>
    <x v="83"/>
    <b v="0"/>
    <x v="24"/>
    <x v="1208"/>
    <n v="392.5"/>
    <x v="8"/>
    <x v="24"/>
  </r>
  <r>
    <x v="1559"/>
    <x v="1559"/>
    <s v="The goal of this project is to provide scientific evidence of bigfoot in the North Cascades."/>
    <n v="15000"/>
    <n v="50"/>
    <x v="2"/>
    <x v="0"/>
    <x v="0"/>
    <n v="1430270199"/>
    <n v="1428974199"/>
    <b v="0"/>
    <x v="29"/>
    <b v="0"/>
    <x v="24"/>
    <x v="119"/>
    <n v="7525"/>
    <x v="8"/>
    <x v="24"/>
  </r>
  <r>
    <x v="1560"/>
    <x v="1560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x v="80"/>
    <b v="0"/>
    <x v="24"/>
    <x v="1209"/>
    <n v="1297"/>
    <x v="8"/>
    <x v="24"/>
  </r>
  <r>
    <x v="1561"/>
    <x v="1561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x v="29"/>
    <b v="0"/>
    <x v="25"/>
    <x v="1210"/>
    <n v="5033.5"/>
    <x v="3"/>
    <x v="25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x v="78"/>
    <b v="0"/>
    <x v="25"/>
    <x v="109"/>
    <n v="2000"/>
    <x v="3"/>
    <x v="25"/>
  </r>
  <r>
    <x v="1563"/>
    <x v="1563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x v="84"/>
    <b v="0"/>
    <x v="25"/>
    <x v="1211"/>
    <n v="3042.5"/>
    <x v="3"/>
    <x v="25"/>
  </r>
  <r>
    <x v="1564"/>
    <x v="1564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x v="29"/>
    <b v="0"/>
    <x v="25"/>
    <x v="370"/>
    <n v="5005"/>
    <x v="3"/>
    <x v="25"/>
  </r>
  <r>
    <x v="1565"/>
    <x v="1565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x v="29"/>
    <b v="0"/>
    <x v="25"/>
    <x v="453"/>
    <n v="2050"/>
    <x v="3"/>
    <x v="25"/>
  </r>
  <r>
    <x v="1566"/>
    <x v="1566"/>
    <s v="Joe DeVito's first Art Book and original King Kong novellas available in both Limited and Deluxe Editions."/>
    <n v="30000"/>
    <n v="6375"/>
    <x v="1"/>
    <x v="0"/>
    <x v="0"/>
    <n v="1469656800"/>
    <n v="1467151204"/>
    <b v="0"/>
    <x v="211"/>
    <b v="0"/>
    <x v="25"/>
    <x v="1212"/>
    <n v="18187.5"/>
    <x v="3"/>
    <x v="25"/>
  </r>
  <r>
    <x v="1567"/>
    <x v="1567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x v="62"/>
    <b v="0"/>
    <x v="25"/>
    <x v="1213"/>
    <n v="4425"/>
    <x v="3"/>
    <x v="25"/>
  </r>
  <r>
    <x v="1568"/>
    <x v="1568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x v="19"/>
    <b v="0"/>
    <x v="25"/>
    <x v="1214"/>
    <n v="14205"/>
    <x v="3"/>
    <x v="25"/>
  </r>
  <r>
    <x v="1569"/>
    <x v="1569"/>
    <s v="to be removed"/>
    <n v="30000"/>
    <n v="0"/>
    <x v="1"/>
    <x v="0"/>
    <x v="0"/>
    <n v="1369498714"/>
    <n v="1366906714"/>
    <b v="0"/>
    <x v="78"/>
    <b v="0"/>
    <x v="25"/>
    <x v="109"/>
    <n v="15000"/>
    <x v="3"/>
    <x v="25"/>
  </r>
  <r>
    <x v="1570"/>
    <x v="1570"/>
    <s v="A Coloring Book of Breathtaking Beauties_x000a_To Calm the Heart and Soul"/>
    <n v="6000"/>
    <n v="2484"/>
    <x v="1"/>
    <x v="0"/>
    <x v="0"/>
    <n v="1460140282"/>
    <n v="1457551882"/>
    <b v="0"/>
    <x v="47"/>
    <b v="0"/>
    <x v="25"/>
    <x v="613"/>
    <n v="4242"/>
    <x v="3"/>
    <x v="25"/>
  </r>
  <r>
    <x v="1571"/>
    <x v="1571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x v="80"/>
    <b v="0"/>
    <x v="25"/>
    <x v="1215"/>
    <n v="6090"/>
    <x v="3"/>
    <x v="25"/>
  </r>
  <r>
    <x v="1572"/>
    <x v="1572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x v="83"/>
    <b v="0"/>
    <x v="25"/>
    <x v="152"/>
    <n v="1312.5"/>
    <x v="3"/>
    <x v="25"/>
  </r>
  <r>
    <x v="1573"/>
    <x v="1573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x v="83"/>
    <b v="0"/>
    <x v="25"/>
    <x v="1216"/>
    <n v="4611.5"/>
    <x v="3"/>
    <x v="25"/>
  </r>
  <r>
    <x v="1574"/>
    <x v="1574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x v="79"/>
    <b v="0"/>
    <x v="25"/>
    <x v="1217"/>
    <n v="5253"/>
    <x v="3"/>
    <x v="25"/>
  </r>
  <r>
    <x v="1575"/>
    <x v="1575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x v="2"/>
    <b v="0"/>
    <x v="25"/>
    <x v="1218"/>
    <n v="6145.5"/>
    <x v="3"/>
    <x v="25"/>
  </r>
  <r>
    <x v="1576"/>
    <x v="1576"/>
    <s v="For the publication of my first 3 books: an Art book, a graphic novel, and a coloring book"/>
    <n v="5000"/>
    <n v="650"/>
    <x v="1"/>
    <x v="0"/>
    <x v="0"/>
    <n v="1435698368"/>
    <n v="1431810368"/>
    <b v="0"/>
    <x v="73"/>
    <b v="0"/>
    <x v="25"/>
    <x v="175"/>
    <n v="2825"/>
    <x v="3"/>
    <x v="25"/>
  </r>
  <r>
    <x v="1577"/>
    <x v="1577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x v="84"/>
    <b v="0"/>
    <x v="25"/>
    <x v="1219"/>
    <n v="5027.5"/>
    <x v="3"/>
    <x v="25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x v="80"/>
    <b v="0"/>
    <x v="25"/>
    <x v="1220"/>
    <n v="1051"/>
    <x v="3"/>
    <x v="25"/>
  </r>
  <r>
    <x v="1579"/>
    <x v="1579"/>
    <s v="'Compilation of visual and literary art through fine art photography, graphic art, and poetry."/>
    <n v="3333"/>
    <n v="28"/>
    <x v="1"/>
    <x v="0"/>
    <x v="0"/>
    <n v="1377734091"/>
    <n v="1374882891"/>
    <b v="0"/>
    <x v="84"/>
    <b v="0"/>
    <x v="25"/>
    <x v="1221"/>
    <n v="1680.5"/>
    <x v="3"/>
    <x v="25"/>
  </r>
  <r>
    <x v="1580"/>
    <x v="1580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x v="78"/>
    <b v="0"/>
    <x v="25"/>
    <x v="109"/>
    <n v="875"/>
    <x v="3"/>
    <x v="25"/>
  </r>
  <r>
    <x v="1581"/>
    <x v="1581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x v="29"/>
    <b v="0"/>
    <x v="26"/>
    <x v="724"/>
    <n v="502.5"/>
    <x v="8"/>
    <x v="26"/>
  </r>
  <r>
    <x v="1582"/>
    <x v="1582"/>
    <s v="I create canvas prints of images from in and around New Orleans"/>
    <n v="1000"/>
    <n v="93"/>
    <x v="2"/>
    <x v="0"/>
    <x v="0"/>
    <n v="1445894400"/>
    <n v="1440961053"/>
    <b v="0"/>
    <x v="83"/>
    <b v="0"/>
    <x v="26"/>
    <x v="1222"/>
    <n v="546.5"/>
    <x v="8"/>
    <x v="26"/>
  </r>
  <r>
    <x v="1583"/>
    <x v="1583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x v="29"/>
    <b v="0"/>
    <x v="26"/>
    <x v="1223"/>
    <n v="10007.5"/>
    <x v="8"/>
    <x v="26"/>
  </r>
  <r>
    <x v="1584"/>
    <x v="1584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x v="78"/>
    <b v="0"/>
    <x v="26"/>
    <x v="109"/>
    <n v="600"/>
    <x v="8"/>
    <x v="26"/>
  </r>
  <r>
    <x v="1585"/>
    <x v="1585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x v="8"/>
    <b v="0"/>
    <x v="26"/>
    <x v="1224"/>
    <n v="1790"/>
    <x v="8"/>
    <x v="26"/>
  </r>
  <r>
    <x v="1586"/>
    <x v="1586"/>
    <s v="Show the world the beauty that is in all of our back yards!"/>
    <n v="1500"/>
    <n v="0"/>
    <x v="2"/>
    <x v="0"/>
    <x v="0"/>
    <n v="1428197422"/>
    <n v="1425609022"/>
    <b v="0"/>
    <x v="78"/>
    <b v="0"/>
    <x v="26"/>
    <x v="109"/>
    <n v="750"/>
    <x v="8"/>
    <x v="26"/>
  </r>
  <r>
    <x v="1587"/>
    <x v="1587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x v="29"/>
    <b v="0"/>
    <x v="26"/>
    <x v="473"/>
    <n v="3750.5"/>
    <x v="8"/>
    <x v="26"/>
  </r>
  <r>
    <x v="1588"/>
    <x v="1588"/>
    <s v="Southeast Texas as seen through the lens of a cell phone camera"/>
    <n v="516"/>
    <n v="0"/>
    <x v="2"/>
    <x v="0"/>
    <x v="0"/>
    <n v="1422735120"/>
    <n v="1420091999"/>
    <b v="0"/>
    <x v="78"/>
    <b v="0"/>
    <x v="26"/>
    <x v="109"/>
    <n v="258"/>
    <x v="8"/>
    <x v="26"/>
  </r>
  <r>
    <x v="1589"/>
    <x v="1589"/>
    <s v="I want to be able to have my own photography inside a canvas and have it be displayed everywhere."/>
    <n v="1200"/>
    <n v="0"/>
    <x v="2"/>
    <x v="0"/>
    <x v="0"/>
    <n v="1444433886"/>
    <n v="1441841886"/>
    <b v="0"/>
    <x v="78"/>
    <b v="0"/>
    <x v="26"/>
    <x v="109"/>
    <n v="600"/>
    <x v="8"/>
    <x v="26"/>
  </r>
  <r>
    <x v="1590"/>
    <x v="1590"/>
    <s v="Discover Italy through photography."/>
    <n v="60000"/>
    <n v="1020"/>
    <x v="2"/>
    <x v="13"/>
    <x v="3"/>
    <n v="1443040464"/>
    <n v="1440448464"/>
    <b v="0"/>
    <x v="84"/>
    <b v="0"/>
    <x v="26"/>
    <x v="617"/>
    <n v="30510"/>
    <x v="8"/>
    <x v="26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x v="297"/>
    <b v="0"/>
    <x v="26"/>
    <x v="1225"/>
    <n v="9046"/>
    <x v="8"/>
    <x v="26"/>
  </r>
  <r>
    <x v="1592"/>
    <x v="1592"/>
    <s v="A portfolio collage of beautiful pictures of authentic Pittsburgh locations and scenery."/>
    <n v="25"/>
    <n v="0"/>
    <x v="2"/>
    <x v="0"/>
    <x v="0"/>
    <n v="1427503485"/>
    <n v="1423619085"/>
    <b v="0"/>
    <x v="78"/>
    <b v="0"/>
    <x v="26"/>
    <x v="109"/>
    <n v="12.5"/>
    <x v="8"/>
    <x v="26"/>
  </r>
  <r>
    <x v="1593"/>
    <x v="1593"/>
    <s v="A trip to fulfill a dream of capturing the wonders and history of ancient Italy in person."/>
    <n v="22000"/>
    <n v="3"/>
    <x v="2"/>
    <x v="0"/>
    <x v="0"/>
    <n v="1425154655"/>
    <n v="1422562655"/>
    <b v="0"/>
    <x v="83"/>
    <b v="0"/>
    <x v="26"/>
    <x v="1226"/>
    <n v="11001.5"/>
    <x v="8"/>
    <x v="26"/>
  </r>
  <r>
    <x v="1594"/>
    <x v="1594"/>
    <s v="I photograph my love of New Orleans, create canvases and share those memories with you."/>
    <n v="1000"/>
    <n v="205"/>
    <x v="2"/>
    <x v="0"/>
    <x v="0"/>
    <n v="1463329260"/>
    <n v="1458147982"/>
    <b v="0"/>
    <x v="73"/>
    <b v="0"/>
    <x v="26"/>
    <x v="1227"/>
    <n v="602.5"/>
    <x v="8"/>
    <x v="26"/>
  </r>
  <r>
    <x v="1595"/>
    <x v="1595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x v="63"/>
    <b v="0"/>
    <x v="26"/>
    <x v="1228"/>
    <n v="50140"/>
    <x v="8"/>
    <x v="26"/>
  </r>
  <r>
    <x v="1596"/>
    <x v="1596"/>
    <s v="London is beautiful. I want to create a book of stunning images from in and around our great city"/>
    <n v="3250"/>
    <n v="75"/>
    <x v="2"/>
    <x v="1"/>
    <x v="1"/>
    <n v="1418469569"/>
    <n v="1414577969"/>
    <b v="0"/>
    <x v="83"/>
    <b v="0"/>
    <x v="26"/>
    <x v="1229"/>
    <n v="1662.5"/>
    <x v="8"/>
    <x v="26"/>
  </r>
  <r>
    <x v="1597"/>
    <x v="1597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x v="78"/>
    <b v="0"/>
    <x v="26"/>
    <x v="109"/>
    <n v="7500"/>
    <x v="8"/>
    <x v="26"/>
  </r>
  <r>
    <x v="1598"/>
    <x v="1598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x v="29"/>
    <b v="0"/>
    <x v="26"/>
    <x v="415"/>
    <n v="400.5"/>
    <x v="8"/>
    <x v="26"/>
  </r>
  <r>
    <x v="1599"/>
    <x v="1599"/>
    <s v="A London photographer trekking 5,895m up Africa's Mount Kilimanjaro to pursue and enrich a career."/>
    <n v="500"/>
    <n v="0"/>
    <x v="2"/>
    <x v="1"/>
    <x v="1"/>
    <n v="1460116576"/>
    <n v="1457528176"/>
    <b v="0"/>
    <x v="78"/>
    <b v="0"/>
    <x v="26"/>
    <x v="109"/>
    <n v="250"/>
    <x v="8"/>
    <x v="26"/>
  </r>
  <r>
    <x v="1600"/>
    <x v="1600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x v="82"/>
    <b v="0"/>
    <x v="26"/>
    <x v="1230"/>
    <n v="2683.5"/>
    <x v="8"/>
    <x v="26"/>
  </r>
  <r>
    <x v="1601"/>
    <x v="1601"/>
    <s v="We're so close to releasing our long-awaited debut album! A little help will go a long way... let's do this!"/>
    <n v="2500"/>
    <n v="2706.23"/>
    <x v="0"/>
    <x v="0"/>
    <x v="0"/>
    <n v="1304561633"/>
    <n v="1301969633"/>
    <b v="0"/>
    <x v="66"/>
    <b v="1"/>
    <x v="11"/>
    <x v="1231"/>
    <n v="2603.1149999999998"/>
    <x v="4"/>
    <x v="11"/>
  </r>
  <r>
    <x v="1602"/>
    <x v="1602"/>
    <s v="We need the help of fans of both music and film alike to help us create our collective vision for this song."/>
    <n v="1500"/>
    <n v="1502.5"/>
    <x v="0"/>
    <x v="0"/>
    <x v="0"/>
    <n v="1318633200"/>
    <n v="1314947317"/>
    <b v="0"/>
    <x v="58"/>
    <b v="1"/>
    <x v="11"/>
    <x v="325"/>
    <n v="1501.25"/>
    <x v="4"/>
    <x v="11"/>
  </r>
  <r>
    <x v="1603"/>
    <x v="1603"/>
    <s v="An exercise in the wild and dangerous world of solo musicianship by Maxwell D Feinstein."/>
    <n v="2000"/>
    <n v="2000.66"/>
    <x v="0"/>
    <x v="0"/>
    <x v="0"/>
    <n v="1327723459"/>
    <n v="1322539459"/>
    <b v="0"/>
    <x v="209"/>
    <b v="1"/>
    <x v="11"/>
    <x v="1232"/>
    <n v="2000.33"/>
    <x v="4"/>
    <x v="11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x v="16"/>
    <b v="1"/>
    <x v="11"/>
    <x v="1233"/>
    <n v="3109.5"/>
    <x v="4"/>
    <x v="11"/>
  </r>
  <r>
    <x v="1605"/>
    <x v="1605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x v="34"/>
    <b v="1"/>
    <x v="11"/>
    <x v="1234"/>
    <n v="6020.8"/>
    <x v="4"/>
    <x v="11"/>
  </r>
  <r>
    <x v="1606"/>
    <x v="1606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x v="297"/>
    <b v="1"/>
    <x v="11"/>
    <x v="1235"/>
    <n v="8040.165"/>
    <x v="4"/>
    <x v="11"/>
  </r>
  <r>
    <x v="1607"/>
    <x v="1607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x v="242"/>
    <b v="1"/>
    <x v="11"/>
    <x v="1236"/>
    <n v="12255.5"/>
    <x v="4"/>
    <x v="11"/>
  </r>
  <r>
    <x v="1608"/>
    <x v="1608"/>
    <s v="The Devil &amp; Me's Debut album, &quot;...It's Not A Dream&quot;, featuring 9 original, Hard Rock songs."/>
    <n v="1200"/>
    <n v="1215"/>
    <x v="0"/>
    <x v="0"/>
    <x v="0"/>
    <n v="1388553960"/>
    <n v="1385754986"/>
    <b v="0"/>
    <x v="23"/>
    <b v="1"/>
    <x v="11"/>
    <x v="982"/>
    <n v="1207.5"/>
    <x v="4"/>
    <x v="11"/>
  </r>
  <r>
    <x v="1609"/>
    <x v="1609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x v="80"/>
    <b v="1"/>
    <x v="11"/>
    <x v="1237"/>
    <n v="1637.5"/>
    <x v="4"/>
    <x v="11"/>
  </r>
  <r>
    <x v="1610"/>
    <x v="1610"/>
    <s v="So The Story Goes is the upcoming album from &quot;Just Joe&quot; Altier."/>
    <n v="2000"/>
    <n v="5437"/>
    <x v="0"/>
    <x v="0"/>
    <x v="0"/>
    <n v="1355609510"/>
    <n v="1353017510"/>
    <b v="0"/>
    <x v="300"/>
    <b v="1"/>
    <x v="11"/>
    <x v="1238"/>
    <n v="3718.5"/>
    <x v="4"/>
    <x v="11"/>
  </r>
  <r>
    <x v="1611"/>
    <x v="1611"/>
    <s v="Skelton-Luns CD/7&quot; No Big Deal."/>
    <n v="800"/>
    <n v="1001"/>
    <x v="0"/>
    <x v="0"/>
    <x v="0"/>
    <n v="1370390432"/>
    <n v="1368576032"/>
    <b v="0"/>
    <x v="74"/>
    <b v="1"/>
    <x v="11"/>
    <x v="1239"/>
    <n v="900.5"/>
    <x v="4"/>
    <x v="11"/>
  </r>
  <r>
    <x v="1612"/>
    <x v="1612"/>
    <s v="Help us achieve our goal to get our van repaired, gassed up, and road-ready for our winter tour!"/>
    <n v="500"/>
    <n v="550"/>
    <x v="0"/>
    <x v="0"/>
    <x v="0"/>
    <n v="1357160384"/>
    <n v="1354568384"/>
    <b v="0"/>
    <x v="202"/>
    <b v="1"/>
    <x v="11"/>
    <x v="1007"/>
    <n v="525"/>
    <x v="4"/>
    <x v="11"/>
  </r>
  <r>
    <x v="1613"/>
    <x v="1613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x v="55"/>
    <b v="1"/>
    <x v="11"/>
    <x v="1240"/>
    <n v="1007.5"/>
    <x v="4"/>
    <x v="11"/>
  </r>
  <r>
    <x v="1614"/>
    <x v="1614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x v="99"/>
    <b v="1"/>
    <x v="11"/>
    <x v="1241"/>
    <n v="5067.5"/>
    <x v="4"/>
    <x v="11"/>
  </r>
  <r>
    <x v="1615"/>
    <x v="1615"/>
    <s v="We are Reno Divorce!! Here is a taste of our upcoming release and we invite you to be a part of it."/>
    <n v="8000"/>
    <n v="9130"/>
    <x v="0"/>
    <x v="0"/>
    <x v="0"/>
    <n v="1323742396"/>
    <n v="1319850796"/>
    <b v="0"/>
    <x v="327"/>
    <b v="1"/>
    <x v="11"/>
    <x v="1242"/>
    <n v="8565"/>
    <x v="4"/>
    <x v="11"/>
  </r>
  <r>
    <x v="1616"/>
    <x v="1616"/>
    <s v="HELP! We don't have much time.....Join Aly Jados in making her new EP a reality before the world ends!!!!"/>
    <n v="10000"/>
    <n v="10420"/>
    <x v="0"/>
    <x v="0"/>
    <x v="0"/>
    <n v="1353621600"/>
    <n v="1350061821"/>
    <b v="0"/>
    <x v="328"/>
    <b v="1"/>
    <x v="11"/>
    <x v="1243"/>
    <n v="10210"/>
    <x v="4"/>
    <x v="11"/>
  </r>
  <r>
    <x v="1617"/>
    <x v="1617"/>
    <s v="The Coffis Brothers &amp;The Mountain Men are recording a brand new full length record."/>
    <n v="7000"/>
    <n v="10210"/>
    <x v="0"/>
    <x v="0"/>
    <x v="0"/>
    <n v="1383332400"/>
    <n v="1380470188"/>
    <b v="0"/>
    <x v="150"/>
    <b v="1"/>
    <x v="11"/>
    <x v="1244"/>
    <n v="8605"/>
    <x v="4"/>
    <x v="11"/>
  </r>
  <r>
    <x v="1618"/>
    <x v="1618"/>
    <s v="Janus Word combines hard rock with melodic acoustic music for a unique and awesome sound."/>
    <n v="1500"/>
    <n v="1576"/>
    <x v="0"/>
    <x v="0"/>
    <x v="0"/>
    <n v="1362757335"/>
    <n v="1359301335"/>
    <b v="0"/>
    <x v="74"/>
    <b v="1"/>
    <x v="11"/>
    <x v="1245"/>
    <n v="1538"/>
    <x v="4"/>
    <x v="11"/>
  </r>
  <r>
    <x v="1619"/>
    <x v="1619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x v="23"/>
    <b v="1"/>
    <x v="11"/>
    <x v="25"/>
    <n v="1750"/>
    <x v="4"/>
    <x v="11"/>
  </r>
  <r>
    <x v="1620"/>
    <x v="1620"/>
    <s v="Kickstarting my music career with 300 hard copy CDs of my first release."/>
    <n v="1000"/>
    <n v="1130"/>
    <x v="0"/>
    <x v="0"/>
    <x v="0"/>
    <n v="1361606940"/>
    <n v="1361002140"/>
    <b v="0"/>
    <x v="57"/>
    <b v="1"/>
    <x v="11"/>
    <x v="1246"/>
    <n v="1065"/>
    <x v="4"/>
    <x v="11"/>
  </r>
  <r>
    <x v="1621"/>
    <x v="1621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x v="77"/>
    <b v="1"/>
    <x v="11"/>
    <x v="1247"/>
    <n v="5530"/>
    <x v="4"/>
    <x v="11"/>
  </r>
  <r>
    <x v="1622"/>
    <x v="1622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x v="71"/>
    <b v="1"/>
    <x v="11"/>
    <x v="1248"/>
    <n v="6959.5"/>
    <x v="4"/>
    <x v="11"/>
  </r>
  <r>
    <x v="1623"/>
    <x v="1623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x v="59"/>
    <b v="1"/>
    <x v="11"/>
    <x v="1249"/>
    <n v="754"/>
    <x v="4"/>
    <x v="11"/>
  </r>
  <r>
    <x v="1624"/>
    <x v="1624"/>
    <s v="Joey De Noble is raising money to help record his latest music, and he wants YOU to be a part of it!"/>
    <n v="1000"/>
    <n v="1180"/>
    <x v="0"/>
    <x v="0"/>
    <x v="0"/>
    <n v="1357721335"/>
    <n v="1354265335"/>
    <b v="0"/>
    <x v="20"/>
    <b v="1"/>
    <x v="11"/>
    <x v="1250"/>
    <n v="1090"/>
    <x v="4"/>
    <x v="11"/>
  </r>
  <r>
    <x v="1625"/>
    <x v="1625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x v="201"/>
    <b v="1"/>
    <x v="11"/>
    <x v="1251"/>
    <n v="9575"/>
    <x v="4"/>
    <x v="11"/>
  </r>
  <r>
    <x v="1626"/>
    <x v="1626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x v="52"/>
    <b v="1"/>
    <x v="11"/>
    <x v="1252"/>
    <n v="8047.5"/>
    <x v="4"/>
    <x v="11"/>
  </r>
  <r>
    <x v="1627"/>
    <x v="1627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x v="44"/>
    <b v="1"/>
    <x v="11"/>
    <x v="967"/>
    <n v="2170"/>
    <x v="4"/>
    <x v="11"/>
  </r>
  <r>
    <x v="1628"/>
    <x v="1628"/>
    <s v="Original Jewish rock music on human relationships and identity"/>
    <n v="4000"/>
    <n v="4037"/>
    <x v="0"/>
    <x v="0"/>
    <x v="0"/>
    <n v="1403026882"/>
    <n v="1400175682"/>
    <b v="0"/>
    <x v="106"/>
    <b v="1"/>
    <x v="11"/>
    <x v="1253"/>
    <n v="4018.5"/>
    <x v="4"/>
    <x v="11"/>
  </r>
  <r>
    <x v="1629"/>
    <x v="1629"/>
    <s v="Help Off The Turnpike release new music, and set fire to everything!"/>
    <n v="6000"/>
    <n v="6220"/>
    <x v="0"/>
    <x v="0"/>
    <x v="0"/>
    <n v="1392929333"/>
    <n v="1389041333"/>
    <b v="0"/>
    <x v="141"/>
    <b v="1"/>
    <x v="11"/>
    <x v="1078"/>
    <n v="6110"/>
    <x v="4"/>
    <x v="11"/>
  </r>
  <r>
    <x v="1630"/>
    <x v="1630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x v="149"/>
    <b v="1"/>
    <x v="11"/>
    <x v="1254"/>
    <n v="7305"/>
    <x v="4"/>
    <x v="11"/>
  </r>
  <r>
    <x v="1631"/>
    <x v="1631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x v="182"/>
    <b v="1"/>
    <x v="11"/>
    <x v="1255"/>
    <n v="12795.5"/>
    <x v="4"/>
    <x v="11"/>
  </r>
  <r>
    <x v="1632"/>
    <x v="1632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x v="5"/>
    <b v="1"/>
    <x v="11"/>
    <x v="1256"/>
    <n v="4032.5"/>
    <x v="4"/>
    <x v="11"/>
  </r>
  <r>
    <x v="1633"/>
    <x v="1633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x v="6"/>
    <b v="1"/>
    <x v="11"/>
    <x v="31"/>
    <n v="10000"/>
    <x v="4"/>
    <x v="11"/>
  </r>
  <r>
    <x v="1634"/>
    <x v="1634"/>
    <s v="Recording Debut  Album w/ Producer Ikey Owens from Free Moral Agents/ The Mars Volta"/>
    <n v="2000"/>
    <n v="2010"/>
    <x v="0"/>
    <x v="0"/>
    <x v="0"/>
    <n v="1306994340"/>
    <n v="1303706001"/>
    <b v="0"/>
    <x v="58"/>
    <b v="1"/>
    <x v="11"/>
    <x v="10"/>
    <n v="2005"/>
    <x v="4"/>
    <x v="11"/>
  </r>
  <r>
    <x v="1635"/>
    <x v="1635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x v="77"/>
    <b v="1"/>
    <x v="11"/>
    <x v="1066"/>
    <n v="2253"/>
    <x v="4"/>
    <x v="11"/>
  </r>
  <r>
    <x v="1636"/>
    <x v="1636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x v="45"/>
    <b v="1"/>
    <x v="11"/>
    <x v="1257"/>
    <n v="4580"/>
    <x v="4"/>
    <x v="11"/>
  </r>
  <r>
    <x v="1637"/>
    <x v="1637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x v="41"/>
    <b v="1"/>
    <x v="11"/>
    <x v="965"/>
    <n v="509.5"/>
    <x v="4"/>
    <x v="11"/>
  </r>
  <r>
    <x v="1638"/>
    <x v="1638"/>
    <s v="Avenues will be going in to the studio to record a new EP with Matt Allison!"/>
    <n v="1000"/>
    <n v="1050"/>
    <x v="0"/>
    <x v="0"/>
    <x v="0"/>
    <n v="1362086700"/>
    <n v="1358180968"/>
    <b v="0"/>
    <x v="74"/>
    <b v="1"/>
    <x v="11"/>
    <x v="2"/>
    <n v="1025"/>
    <x v="4"/>
    <x v="11"/>
  </r>
  <r>
    <x v="1639"/>
    <x v="1639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x v="10"/>
    <b v="1"/>
    <x v="11"/>
    <x v="31"/>
    <n v="1800"/>
    <x v="4"/>
    <x v="11"/>
  </r>
  <r>
    <x v="1640"/>
    <x v="1640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x v="57"/>
    <b v="1"/>
    <x v="11"/>
    <x v="1258"/>
    <n v="539.72"/>
    <x v="4"/>
    <x v="11"/>
  </r>
  <r>
    <x v="1641"/>
    <x v="1641"/>
    <s v="Music Video For Upbeat and Inspiring Song - Run For Your Life"/>
    <n v="2500"/>
    <n v="2535"/>
    <x v="0"/>
    <x v="0"/>
    <x v="0"/>
    <n v="1418998744"/>
    <n v="1416406744"/>
    <b v="0"/>
    <x v="55"/>
    <b v="1"/>
    <x v="27"/>
    <x v="578"/>
    <n v="2517.5"/>
    <x v="4"/>
    <x v="27"/>
  </r>
  <r>
    <x v="1642"/>
    <x v="1642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x v="33"/>
    <b v="1"/>
    <x v="27"/>
    <x v="31"/>
    <n v="1200"/>
    <x v="4"/>
    <x v="27"/>
  </r>
  <r>
    <x v="1643"/>
    <x v="1643"/>
    <s v="This Is All Now is putting out a brand new record, and we need YOUR help to do it!"/>
    <n v="5000"/>
    <n v="6235"/>
    <x v="0"/>
    <x v="0"/>
    <x v="0"/>
    <n v="1348516012"/>
    <n v="1345924012"/>
    <b v="0"/>
    <x v="77"/>
    <b v="1"/>
    <x v="27"/>
    <x v="1259"/>
    <n v="5617.5"/>
    <x v="4"/>
    <x v="27"/>
  </r>
  <r>
    <x v="1644"/>
    <x v="1644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x v="130"/>
    <b v="1"/>
    <x v="27"/>
    <x v="1260"/>
    <n v="10475"/>
    <x v="4"/>
    <x v="27"/>
  </r>
  <r>
    <x v="1645"/>
    <x v="1645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x v="73"/>
    <b v="1"/>
    <x v="27"/>
    <x v="1261"/>
    <n v="5270"/>
    <x v="4"/>
    <x v="27"/>
  </r>
  <r>
    <x v="1646"/>
    <x v="1646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x v="183"/>
    <b v="1"/>
    <x v="27"/>
    <x v="1097"/>
    <n v="2102"/>
    <x v="4"/>
    <x v="27"/>
  </r>
  <r>
    <x v="1647"/>
    <x v="1647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x v="67"/>
    <b v="1"/>
    <x v="27"/>
    <x v="1262"/>
    <n v="5118"/>
    <x v="4"/>
    <x v="27"/>
  </r>
  <r>
    <x v="1648"/>
    <x v="1648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x v="240"/>
    <b v="1"/>
    <x v="27"/>
    <x v="1263"/>
    <n v="2590.5"/>
    <x v="4"/>
    <x v="27"/>
  </r>
  <r>
    <x v="1649"/>
    <x v="1649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x v="75"/>
    <b v="1"/>
    <x v="27"/>
    <x v="1264"/>
    <n v="3811.165"/>
    <x v="4"/>
    <x v="27"/>
  </r>
  <r>
    <x v="1650"/>
    <x v="1650"/>
    <s v="Help me record a CD that uses pop styling to give a fresh sound to ancient wisdom from scripture!"/>
    <n v="2000"/>
    <n v="2831"/>
    <x v="0"/>
    <x v="0"/>
    <x v="0"/>
    <n v="1381314437"/>
    <n v="1378722437"/>
    <b v="0"/>
    <x v="58"/>
    <b v="1"/>
    <x v="27"/>
    <x v="1265"/>
    <n v="2415.5"/>
    <x v="4"/>
    <x v="27"/>
  </r>
  <r>
    <x v="1651"/>
    <x v="1651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x v="9"/>
    <b v="1"/>
    <x v="27"/>
    <x v="1266"/>
    <n v="2007.5"/>
    <x v="4"/>
    <x v="27"/>
  </r>
  <r>
    <x v="1652"/>
    <x v="1652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x v="16"/>
    <b v="1"/>
    <x v="27"/>
    <x v="17"/>
    <n v="4515"/>
    <x v="4"/>
    <x v="27"/>
  </r>
  <r>
    <x v="1653"/>
    <x v="1653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x v="129"/>
    <b v="1"/>
    <x v="27"/>
    <x v="1267"/>
    <n v="6855.76"/>
    <x v="4"/>
    <x v="27"/>
  </r>
  <r>
    <x v="1654"/>
    <x v="1654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x v="69"/>
    <b v="1"/>
    <x v="27"/>
    <x v="1268"/>
    <n v="1209.5"/>
    <x v="4"/>
    <x v="27"/>
  </r>
  <r>
    <x v="1655"/>
    <x v="1655"/>
    <s v="Berklee College of Music student, Meg Porter needs YOUR help to fund her very first EP!"/>
    <n v="1500"/>
    <n v="2143"/>
    <x v="0"/>
    <x v="0"/>
    <x v="0"/>
    <n v="1333648820"/>
    <n v="1331060420"/>
    <b v="0"/>
    <x v="53"/>
    <b v="1"/>
    <x v="27"/>
    <x v="1269"/>
    <n v="1821.5"/>
    <x v="4"/>
    <x v="27"/>
  </r>
  <r>
    <x v="1656"/>
    <x v="1656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x v="53"/>
    <b v="1"/>
    <x v="27"/>
    <x v="1270"/>
    <n v="7512.5599999999995"/>
    <x v="4"/>
    <x v="27"/>
  </r>
  <r>
    <x v="1657"/>
    <x v="1657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x v="170"/>
    <b v="1"/>
    <x v="27"/>
    <x v="1271"/>
    <n v="25616.724999999999"/>
    <x v="4"/>
    <x v="27"/>
  </r>
  <r>
    <x v="1658"/>
    <x v="1658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x v="329"/>
    <b v="1"/>
    <x v="27"/>
    <x v="1272"/>
    <n v="6967"/>
    <x v="4"/>
    <x v="27"/>
  </r>
  <r>
    <x v="1659"/>
    <x v="1659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x v="43"/>
    <b v="1"/>
    <x v="27"/>
    <x v="1273"/>
    <n v="532"/>
    <x v="4"/>
    <x v="27"/>
  </r>
  <r>
    <x v="1660"/>
    <x v="1660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x v="17"/>
    <b v="1"/>
    <x v="27"/>
    <x v="1274"/>
    <n v="541.5"/>
    <x v="4"/>
    <x v="27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x v="21"/>
    <b v="1"/>
    <x v="27"/>
    <x v="1275"/>
    <n v="7999"/>
    <x v="4"/>
    <x v="27"/>
  </r>
  <r>
    <x v="1662"/>
    <x v="1662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x v="95"/>
    <b v="1"/>
    <x v="27"/>
    <x v="1276"/>
    <n v="8105.5"/>
    <x v="4"/>
    <x v="27"/>
  </r>
  <r>
    <x v="1663"/>
    <x v="1663"/>
    <s v="music is as important to the eyes as it is to the ears. help bring ghost to life in front of your eyes."/>
    <n v="1000"/>
    <n v="1080"/>
    <x v="0"/>
    <x v="0"/>
    <x v="0"/>
    <n v="1422750707"/>
    <n v="1420158707"/>
    <b v="0"/>
    <x v="58"/>
    <b v="1"/>
    <x v="27"/>
    <x v="1277"/>
    <n v="1040"/>
    <x v="4"/>
    <x v="27"/>
  </r>
  <r>
    <x v="1664"/>
    <x v="1664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x v="30"/>
    <b v="1"/>
    <x v="27"/>
    <x v="1278"/>
    <n v="2780.1099999999997"/>
    <x v="4"/>
    <x v="27"/>
  </r>
  <r>
    <x v="1665"/>
    <x v="1665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x v="251"/>
    <b v="1"/>
    <x v="27"/>
    <x v="1279"/>
    <n v="3840.5"/>
    <x v="4"/>
    <x v="27"/>
  </r>
  <r>
    <x v="1666"/>
    <x v="1666"/>
    <s v="Play a KEY role in Venus On Fire's success - Working with a World Class Producer to make a memorable EP."/>
    <n v="2500"/>
    <n v="4022"/>
    <x v="0"/>
    <x v="0"/>
    <x v="0"/>
    <n v="1364447073"/>
    <n v="1361858673"/>
    <b v="0"/>
    <x v="15"/>
    <b v="1"/>
    <x v="27"/>
    <x v="1280"/>
    <n v="3261"/>
    <x v="4"/>
    <x v="27"/>
  </r>
  <r>
    <x v="1667"/>
    <x v="1667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x v="141"/>
    <b v="1"/>
    <x v="27"/>
    <x v="1281"/>
    <n v="3856.5"/>
    <x v="4"/>
    <x v="27"/>
  </r>
  <r>
    <x v="1668"/>
    <x v="1668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x v="318"/>
    <b v="1"/>
    <x v="27"/>
    <x v="1276"/>
    <n v="8105.5"/>
    <x v="4"/>
    <x v="27"/>
  </r>
  <r>
    <x v="1669"/>
    <x v="1669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x v="47"/>
    <b v="1"/>
    <x v="27"/>
    <x v="1282"/>
    <n v="2397.5"/>
    <x v="4"/>
    <x v="27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x v="23"/>
    <b v="1"/>
    <x v="27"/>
    <x v="946"/>
    <n v="1013"/>
    <x v="4"/>
    <x v="27"/>
  </r>
  <r>
    <x v="1671"/>
    <x v="1671"/>
    <s v="I am seeking funding in order to help take my music from a hobby to a career."/>
    <n v="2000"/>
    <n v="2013.47"/>
    <x v="0"/>
    <x v="0"/>
    <x v="0"/>
    <n v="1470056614"/>
    <n v="1467464614"/>
    <b v="0"/>
    <x v="99"/>
    <b v="1"/>
    <x v="27"/>
    <x v="1283"/>
    <n v="2006.7350000000001"/>
    <x v="4"/>
    <x v="27"/>
  </r>
  <r>
    <x v="1672"/>
    <x v="1672"/>
    <s v="Sweet, sweet harmonies from Portland Oregon's premiere high school women's a cappella group."/>
    <n v="1700"/>
    <n v="1920"/>
    <x v="0"/>
    <x v="0"/>
    <x v="0"/>
    <n v="1338824730"/>
    <n v="1336232730"/>
    <b v="0"/>
    <x v="72"/>
    <b v="1"/>
    <x v="27"/>
    <x v="1284"/>
    <n v="1810"/>
    <x v="4"/>
    <x v="27"/>
  </r>
  <r>
    <x v="1673"/>
    <x v="1673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x v="211"/>
    <b v="1"/>
    <x v="27"/>
    <x v="1285"/>
    <n v="2395"/>
    <x v="4"/>
    <x v="27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x v="116"/>
    <b v="1"/>
    <x v="27"/>
    <x v="1286"/>
    <n v="7542.5"/>
    <x v="4"/>
    <x v="27"/>
  </r>
  <r>
    <x v="1675"/>
    <x v="1675"/>
    <s v="The Great Party is releasing their debut album. Here's your chance to be a part of it!"/>
    <n v="1000"/>
    <n v="1374.16"/>
    <x v="0"/>
    <x v="0"/>
    <x v="0"/>
    <n v="1318802580"/>
    <n v="1316194540"/>
    <b v="0"/>
    <x v="69"/>
    <b v="1"/>
    <x v="27"/>
    <x v="1287"/>
    <n v="1187.08"/>
    <x v="4"/>
    <x v="27"/>
  </r>
  <r>
    <x v="1676"/>
    <x v="1676"/>
    <s v="Help fund Bridge 19's tour in support of their first duo record, to be released in May 2012."/>
    <n v="3000"/>
    <n v="3460"/>
    <x v="0"/>
    <x v="0"/>
    <x v="0"/>
    <n v="1334980740"/>
    <n v="1330968347"/>
    <b v="0"/>
    <x v="288"/>
    <b v="1"/>
    <x v="27"/>
    <x v="1288"/>
    <n v="3230"/>
    <x v="4"/>
    <x v="27"/>
  </r>
  <r>
    <x v="1677"/>
    <x v="1677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x v="288"/>
    <b v="1"/>
    <x v="27"/>
    <x v="1067"/>
    <n v="6350"/>
    <x v="4"/>
    <x v="27"/>
  </r>
  <r>
    <x v="1678"/>
    <x v="1678"/>
    <s v="Help me make an amazing music video so that I can take my music to the next level and get a manager!"/>
    <n v="1500"/>
    <n v="1776"/>
    <x v="0"/>
    <x v="0"/>
    <x v="0"/>
    <n v="1391718671"/>
    <n v="1390509071"/>
    <b v="0"/>
    <x v="72"/>
    <b v="1"/>
    <x v="27"/>
    <x v="1289"/>
    <n v="1638"/>
    <x v="4"/>
    <x v="27"/>
  </r>
  <r>
    <x v="1679"/>
    <x v="1679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x v="66"/>
    <b v="1"/>
    <x v="27"/>
    <x v="1290"/>
    <n v="2750"/>
    <x v="4"/>
    <x v="27"/>
  </r>
  <r>
    <x v="1680"/>
    <x v="1680"/>
    <s v="Working Musician dilemma #164: how the taxman put Kick the Record 2.0 on hold"/>
    <n v="1000"/>
    <n v="1175"/>
    <x v="0"/>
    <x v="0"/>
    <x v="0"/>
    <n v="1405188667"/>
    <n v="1402596667"/>
    <b v="0"/>
    <x v="20"/>
    <b v="1"/>
    <x v="27"/>
    <x v="1291"/>
    <n v="1087.5"/>
    <x v="4"/>
    <x v="2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x v="330"/>
    <b v="0"/>
    <x v="28"/>
    <x v="1292"/>
    <n v="65462.19"/>
    <x v="4"/>
    <x v="28"/>
  </r>
  <r>
    <x v="1682"/>
    <x v="1682"/>
    <s v="Christian singer-wongerwriter searching for funding to record CD of original Christian music."/>
    <n v="6000"/>
    <n v="0"/>
    <x v="3"/>
    <x v="0"/>
    <x v="0"/>
    <n v="1492142860"/>
    <n v="1486962460"/>
    <b v="0"/>
    <x v="78"/>
    <b v="0"/>
    <x v="28"/>
    <x v="109"/>
    <n v="3000"/>
    <x v="4"/>
    <x v="28"/>
  </r>
  <r>
    <x v="1683"/>
    <x v="1683"/>
    <s v="Rendre tÃ©moignage de ce que Dieu fait chaque jour pour moi et venir en  aide  aux autres, c'est  mon but."/>
    <n v="3500"/>
    <n v="760"/>
    <x v="3"/>
    <x v="6"/>
    <x v="3"/>
    <n v="1491590738"/>
    <n v="1489517138"/>
    <b v="0"/>
    <x v="73"/>
    <b v="0"/>
    <x v="28"/>
    <x v="1293"/>
    <n v="2130"/>
    <x v="4"/>
    <x v="28"/>
  </r>
  <r>
    <x v="1684"/>
    <x v="1684"/>
    <s v="New Music from Marty Mikles!  A new EP all about God's Goodness &amp; Mercy."/>
    <n v="8000"/>
    <n v="8730"/>
    <x v="3"/>
    <x v="0"/>
    <x v="0"/>
    <n v="1489775641"/>
    <n v="1487360041"/>
    <b v="0"/>
    <x v="21"/>
    <b v="0"/>
    <x v="28"/>
    <x v="1294"/>
    <n v="8365"/>
    <x v="4"/>
    <x v="28"/>
  </r>
  <r>
    <x v="1685"/>
    <x v="1685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x v="41"/>
    <b v="0"/>
    <x v="28"/>
    <x v="82"/>
    <n v="355"/>
    <x v="4"/>
    <x v="28"/>
  </r>
  <r>
    <x v="1686"/>
    <x v="1686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x v="29"/>
    <b v="0"/>
    <x v="28"/>
    <x v="1295"/>
    <n v="2509"/>
    <x v="4"/>
    <x v="28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x v="70"/>
    <b v="0"/>
    <x v="28"/>
    <x v="1296"/>
    <n v="6562.5"/>
    <x v="4"/>
    <x v="28"/>
  </r>
  <r>
    <x v="1688"/>
    <x v="1688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x v="63"/>
    <b v="0"/>
    <x v="28"/>
    <x v="1297"/>
    <n v="2886"/>
    <x v="4"/>
    <x v="28"/>
  </r>
  <r>
    <x v="1689"/>
    <x v="1689"/>
    <s v="Praising the Living God in the second half of life."/>
    <n v="2400"/>
    <n v="2400"/>
    <x v="3"/>
    <x v="0"/>
    <x v="0"/>
    <n v="1489700230"/>
    <n v="1487111830"/>
    <b v="0"/>
    <x v="25"/>
    <b v="0"/>
    <x v="28"/>
    <x v="31"/>
    <n v="2400"/>
    <x v="4"/>
    <x v="28"/>
  </r>
  <r>
    <x v="1690"/>
    <x v="1690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x v="202"/>
    <b v="0"/>
    <x v="28"/>
    <x v="1298"/>
    <n v="1567.5"/>
    <x v="4"/>
    <x v="28"/>
  </r>
  <r>
    <x v="1691"/>
    <x v="1691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x v="44"/>
    <b v="0"/>
    <x v="28"/>
    <x v="1299"/>
    <n v="20021"/>
    <x v="4"/>
    <x v="28"/>
  </r>
  <r>
    <x v="1692"/>
    <x v="1692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x v="41"/>
    <b v="0"/>
    <x v="28"/>
    <x v="1300"/>
    <n v="3695"/>
    <x v="4"/>
    <x v="28"/>
  </r>
  <r>
    <x v="1693"/>
    <x v="1693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x v="22"/>
    <b v="0"/>
    <x v="28"/>
    <x v="1301"/>
    <n v="1640"/>
    <x v="4"/>
    <x v="28"/>
  </r>
  <r>
    <x v="1694"/>
    <x v="1694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x v="29"/>
    <b v="0"/>
    <x v="28"/>
    <x v="833"/>
    <n v="5002.5"/>
    <x v="4"/>
    <x v="28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x v="23"/>
    <b v="0"/>
    <x v="28"/>
    <x v="1302"/>
    <n v="6702.5"/>
    <x v="4"/>
    <x v="28"/>
  </r>
  <r>
    <x v="1696"/>
    <x v="1696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x v="78"/>
    <b v="0"/>
    <x v="28"/>
    <x v="109"/>
    <n v="150000"/>
    <x v="4"/>
    <x v="28"/>
  </r>
  <r>
    <x v="1697"/>
    <x v="1697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x v="19"/>
    <b v="0"/>
    <x v="28"/>
    <x v="1303"/>
    <n v="7513"/>
    <x v="4"/>
    <x v="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x v="78"/>
    <b v="0"/>
    <x v="28"/>
    <x v="109"/>
    <n v="62500"/>
    <x v="4"/>
    <x v="28"/>
  </r>
  <r>
    <x v="1699"/>
    <x v="1699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x v="80"/>
    <b v="0"/>
    <x v="28"/>
    <x v="1304"/>
    <n v="2660.5"/>
    <x v="4"/>
    <x v="28"/>
  </r>
  <r>
    <x v="1700"/>
    <x v="1700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x v="1"/>
    <b v="0"/>
    <x v="28"/>
    <x v="1305"/>
    <n v="12606"/>
    <x v="4"/>
    <x v="28"/>
  </r>
  <r>
    <x v="1701"/>
    <x v="1701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x v="84"/>
    <b v="0"/>
    <x v="28"/>
    <x v="1306"/>
    <n v="2530"/>
    <x v="4"/>
    <x v="28"/>
  </r>
  <r>
    <x v="1702"/>
    <x v="1702"/>
    <s v="I can do all things through christ jesus"/>
    <n v="16500"/>
    <n v="1"/>
    <x v="2"/>
    <x v="0"/>
    <x v="0"/>
    <n v="1427745150"/>
    <n v="1425156750"/>
    <b v="0"/>
    <x v="29"/>
    <b v="0"/>
    <x v="28"/>
    <x v="1307"/>
    <n v="8250.5"/>
    <x v="4"/>
    <x v="28"/>
  </r>
  <r>
    <x v="1703"/>
    <x v="1703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x v="84"/>
    <b v="0"/>
    <x v="28"/>
    <x v="391"/>
    <n v="2525.5"/>
    <x v="4"/>
    <x v="28"/>
  </r>
  <r>
    <x v="1704"/>
    <x v="1704"/>
    <s v="We want to record an album of popular praise &amp; worship songs with our own influence and style."/>
    <n v="2000"/>
    <n v="1302"/>
    <x v="2"/>
    <x v="0"/>
    <x v="0"/>
    <n v="1424056873"/>
    <n v="1421464873"/>
    <b v="0"/>
    <x v="202"/>
    <b v="0"/>
    <x v="28"/>
    <x v="1308"/>
    <n v="1651"/>
    <x v="4"/>
    <x v="28"/>
  </r>
  <r>
    <x v="1705"/>
    <x v="1705"/>
    <s v="An instrumental album that ranges from hymns to contemporary music. All the music is recorded by myself."/>
    <n v="2000"/>
    <n v="0"/>
    <x v="2"/>
    <x v="0"/>
    <x v="0"/>
    <n v="1441814400"/>
    <n v="1440807846"/>
    <b v="0"/>
    <x v="78"/>
    <b v="0"/>
    <x v="28"/>
    <x v="109"/>
    <n v="1000"/>
    <x v="4"/>
    <x v="28"/>
  </r>
  <r>
    <x v="1706"/>
    <x v="1706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x v="78"/>
    <b v="0"/>
    <x v="28"/>
    <x v="109"/>
    <n v="2750"/>
    <x v="4"/>
    <x v="28"/>
  </r>
  <r>
    <x v="1707"/>
    <x v="1707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x v="82"/>
    <b v="0"/>
    <x v="28"/>
    <x v="1309"/>
    <n v="2743.5"/>
    <x v="4"/>
    <x v="28"/>
  </r>
  <r>
    <x v="1708"/>
    <x v="1708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x v="78"/>
    <b v="0"/>
    <x v="28"/>
    <x v="109"/>
    <n v="3500"/>
    <x v="4"/>
    <x v="28"/>
  </r>
  <r>
    <x v="1709"/>
    <x v="1709"/>
    <s v="A project to set psalms to music. The psalms are taken from the English Standard Version (ESV) of the Bible."/>
    <n v="1750"/>
    <n v="85"/>
    <x v="2"/>
    <x v="0"/>
    <x v="0"/>
    <n v="1409513940"/>
    <n v="1405949514"/>
    <b v="0"/>
    <x v="80"/>
    <b v="0"/>
    <x v="28"/>
    <x v="1310"/>
    <n v="917.5"/>
    <x v="4"/>
    <x v="28"/>
  </r>
  <r>
    <x v="1710"/>
    <x v="1710"/>
    <s v="We want to create a gospel live album which has never been produced before."/>
    <n v="5000"/>
    <n v="34"/>
    <x v="2"/>
    <x v="12"/>
    <x v="3"/>
    <n v="1453122000"/>
    <n v="1449151888"/>
    <b v="0"/>
    <x v="29"/>
    <b v="0"/>
    <x v="28"/>
    <x v="1311"/>
    <n v="2517"/>
    <x v="4"/>
    <x v="28"/>
  </r>
  <r>
    <x v="1711"/>
    <x v="1711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x v="84"/>
    <b v="0"/>
    <x v="28"/>
    <x v="1131"/>
    <n v="5525"/>
    <x v="4"/>
    <x v="28"/>
  </r>
  <r>
    <x v="1712"/>
    <x v="1712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x v="78"/>
    <b v="0"/>
    <x v="28"/>
    <x v="109"/>
    <n v="2500"/>
    <x v="4"/>
    <x v="28"/>
  </r>
  <r>
    <x v="1713"/>
    <x v="1713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x v="29"/>
    <b v="0"/>
    <x v="28"/>
    <x v="1312"/>
    <n v="1525"/>
    <x v="4"/>
    <x v="28"/>
  </r>
  <r>
    <x v="1714"/>
    <x v="1714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x v="57"/>
    <b v="0"/>
    <x v="28"/>
    <x v="1313"/>
    <n v="13483.5"/>
    <x v="4"/>
    <x v="28"/>
  </r>
  <r>
    <x v="1715"/>
    <x v="1715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x v="84"/>
    <b v="0"/>
    <x v="28"/>
    <x v="881"/>
    <n v="2505.5"/>
    <x v="4"/>
    <x v="28"/>
  </r>
  <r>
    <x v="1716"/>
    <x v="1716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x v="83"/>
    <b v="0"/>
    <x v="28"/>
    <x v="847"/>
    <n v="1075"/>
    <x v="4"/>
    <x v="28"/>
  </r>
  <r>
    <x v="1717"/>
    <x v="1717"/>
    <s v="Our first record created to reach, inspire, and ultimately express the love of Jesus to our generation."/>
    <n v="3265"/>
    <n v="1395"/>
    <x v="2"/>
    <x v="0"/>
    <x v="0"/>
    <n v="1461211200"/>
    <n v="1459467238"/>
    <b v="0"/>
    <x v="14"/>
    <b v="0"/>
    <x v="28"/>
    <x v="1314"/>
    <n v="2330"/>
    <x v="4"/>
    <x v="28"/>
  </r>
  <r>
    <x v="1718"/>
    <x v="1718"/>
    <s v="A melody for the galaxy."/>
    <n v="35000"/>
    <n v="75"/>
    <x v="2"/>
    <x v="0"/>
    <x v="0"/>
    <n v="1463201940"/>
    <n v="1459435149"/>
    <b v="0"/>
    <x v="84"/>
    <b v="0"/>
    <x v="28"/>
    <x v="1315"/>
    <n v="17537.5"/>
    <x v="4"/>
    <x v="28"/>
  </r>
  <r>
    <x v="1719"/>
    <x v="1719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x v="83"/>
    <b v="0"/>
    <x v="28"/>
    <x v="1316"/>
    <n v="2017.5"/>
    <x v="4"/>
    <x v="28"/>
  </r>
  <r>
    <x v="1720"/>
    <x v="1720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x v="22"/>
    <b v="0"/>
    <x v="28"/>
    <x v="1317"/>
    <n v="2112.5"/>
    <x v="4"/>
    <x v="28"/>
  </r>
  <r>
    <x v="1721"/>
    <x v="1721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x v="78"/>
    <b v="0"/>
    <x v="28"/>
    <x v="109"/>
    <n v="2500"/>
    <x v="4"/>
    <x v="28"/>
  </r>
  <r>
    <x v="1722"/>
    <x v="1722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x v="29"/>
    <b v="0"/>
    <x v="28"/>
    <x v="1318"/>
    <n v="1440.5"/>
    <x v="4"/>
    <x v="28"/>
  </r>
  <r>
    <x v="1723"/>
    <x v="1723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x v="83"/>
    <b v="0"/>
    <x v="28"/>
    <x v="896"/>
    <n v="5325"/>
    <x v="4"/>
    <x v="28"/>
  </r>
  <r>
    <x v="1724"/>
    <x v="1724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x v="80"/>
    <b v="0"/>
    <x v="28"/>
    <x v="1319"/>
    <n v="3017.5"/>
    <x v="4"/>
    <x v="28"/>
  </r>
  <r>
    <x v="1725"/>
    <x v="1725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x v="82"/>
    <b v="0"/>
    <x v="28"/>
    <x v="1320"/>
    <n v="3030"/>
    <x v="4"/>
    <x v="28"/>
  </r>
  <r>
    <x v="1726"/>
    <x v="1726"/>
    <s v="Amanda Joy Hall's sophomore album, &quot;Every Day&quot;. Release expected July 2014"/>
    <n v="6500"/>
    <n v="2196"/>
    <x v="2"/>
    <x v="0"/>
    <x v="0"/>
    <n v="1403906664"/>
    <n v="1401401064"/>
    <b v="0"/>
    <x v="38"/>
    <b v="0"/>
    <x v="28"/>
    <x v="1321"/>
    <n v="4348"/>
    <x v="4"/>
    <x v="28"/>
  </r>
  <r>
    <x v="1727"/>
    <x v="1727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x v="29"/>
    <b v="0"/>
    <x v="28"/>
    <x v="108"/>
    <n v="1500.5"/>
    <x v="4"/>
    <x v="28"/>
  </r>
  <r>
    <x v="1728"/>
    <x v="1728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x v="63"/>
    <b v="0"/>
    <x v="28"/>
    <x v="1322"/>
    <n v="1052.5"/>
    <x v="4"/>
    <x v="28"/>
  </r>
  <r>
    <x v="1729"/>
    <x v="1729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x v="78"/>
    <b v="0"/>
    <x v="28"/>
    <x v="109"/>
    <n v="5000"/>
    <x v="4"/>
    <x v="28"/>
  </r>
  <r>
    <x v="1730"/>
    <x v="1730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x v="78"/>
    <b v="0"/>
    <x v="28"/>
    <x v="109"/>
    <n v="1500"/>
    <x v="4"/>
    <x v="28"/>
  </r>
  <r>
    <x v="1731"/>
    <x v="1731"/>
    <s v="We are a Christin Worship band looking to midwest tour. God Bless!"/>
    <n v="1000"/>
    <n v="0"/>
    <x v="2"/>
    <x v="0"/>
    <x v="0"/>
    <n v="1434034800"/>
    <n v="1432849552"/>
    <b v="0"/>
    <x v="78"/>
    <b v="0"/>
    <x v="28"/>
    <x v="109"/>
    <n v="500"/>
    <x v="4"/>
    <x v="28"/>
  </r>
  <r>
    <x v="1732"/>
    <x v="1732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x v="78"/>
    <b v="0"/>
    <x v="28"/>
    <x v="109"/>
    <n v="2000"/>
    <x v="4"/>
    <x v="28"/>
  </r>
  <r>
    <x v="1733"/>
    <x v="1733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x v="78"/>
    <b v="0"/>
    <x v="28"/>
    <x v="109"/>
    <n v="5000"/>
    <x v="4"/>
    <x v="28"/>
  </r>
  <r>
    <x v="1734"/>
    <x v="1734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x v="29"/>
    <b v="0"/>
    <x v="28"/>
    <x v="1323"/>
    <n v="2250.5"/>
    <x v="4"/>
    <x v="28"/>
  </r>
  <r>
    <x v="1735"/>
    <x v="1735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x v="84"/>
    <b v="0"/>
    <x v="28"/>
    <x v="1324"/>
    <n v="555"/>
    <x v="4"/>
    <x v="28"/>
  </r>
  <r>
    <x v="1736"/>
    <x v="1736"/>
    <s v="A unique meditative album reflecting on the life of Christ, inviting Him into your presence"/>
    <n v="3000"/>
    <n v="22"/>
    <x v="2"/>
    <x v="0"/>
    <x v="0"/>
    <n v="1447018833"/>
    <n v="1444423233"/>
    <b v="0"/>
    <x v="29"/>
    <b v="0"/>
    <x v="28"/>
    <x v="1325"/>
    <n v="1511"/>
    <x v="4"/>
    <x v="28"/>
  </r>
  <r>
    <x v="1737"/>
    <x v="1737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x v="41"/>
    <b v="0"/>
    <x v="28"/>
    <x v="1212"/>
    <n v="2425"/>
    <x v="4"/>
    <x v="28"/>
  </r>
  <r>
    <x v="1738"/>
    <x v="1738"/>
    <s v="Music that inspires and gives hope for overcoming and change. And it is good music."/>
    <n v="5000"/>
    <n v="20"/>
    <x v="2"/>
    <x v="0"/>
    <x v="0"/>
    <n v="1412283542"/>
    <n v="1409691542"/>
    <b v="0"/>
    <x v="29"/>
    <b v="0"/>
    <x v="28"/>
    <x v="177"/>
    <n v="2510"/>
    <x v="4"/>
    <x v="28"/>
  </r>
  <r>
    <x v="1739"/>
    <x v="1739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x v="29"/>
    <b v="0"/>
    <x v="28"/>
    <x v="370"/>
    <n v="500.5"/>
    <x v="4"/>
    <x v="28"/>
  </r>
  <r>
    <x v="1740"/>
    <x v="1740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x v="78"/>
    <b v="0"/>
    <x v="28"/>
    <x v="109"/>
    <n v="1500"/>
    <x v="4"/>
    <x v="28"/>
  </r>
  <r>
    <x v="1741"/>
    <x v="1741"/>
    <s v="A photo journal documenting my experiences and travels across New Zealand"/>
    <n v="1200"/>
    <n v="1330"/>
    <x v="0"/>
    <x v="1"/>
    <x v="1"/>
    <n v="1433948671"/>
    <n v="1430060671"/>
    <b v="0"/>
    <x v="47"/>
    <b v="1"/>
    <x v="20"/>
    <x v="1326"/>
    <n v="1265"/>
    <x v="8"/>
    <x v="20"/>
  </r>
  <r>
    <x v="1742"/>
    <x v="1742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x v="69"/>
    <b v="1"/>
    <x v="20"/>
    <x v="648"/>
    <n v="2087.5"/>
    <x v="8"/>
    <x v="20"/>
  </r>
  <r>
    <x v="1743"/>
    <x v="1743"/>
    <s v="Visual documentation of the endangered IÃ±upiat language, captured in the form of a printed photography book."/>
    <n v="6000"/>
    <n v="6025"/>
    <x v="0"/>
    <x v="0"/>
    <x v="0"/>
    <n v="1472270340"/>
    <n v="1470348775"/>
    <b v="0"/>
    <x v="85"/>
    <b v="1"/>
    <x v="20"/>
    <x v="1327"/>
    <n v="6012.5"/>
    <x v="8"/>
    <x v="20"/>
  </r>
  <r>
    <x v="1744"/>
    <x v="1744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x v="16"/>
    <b v="1"/>
    <x v="20"/>
    <x v="1328"/>
    <n v="6007.5"/>
    <x v="8"/>
    <x v="20"/>
  </r>
  <r>
    <x v="1745"/>
    <x v="1745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x v="30"/>
    <b v="1"/>
    <x v="20"/>
    <x v="1329"/>
    <n v="7490.5"/>
    <x v="8"/>
    <x v="20"/>
  </r>
  <r>
    <x v="1746"/>
    <x v="1746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x v="329"/>
    <b v="1"/>
    <x v="20"/>
    <x v="1330"/>
    <n v="18607.5"/>
    <x v="8"/>
    <x v="20"/>
  </r>
  <r>
    <x v="1747"/>
    <x v="1747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x v="180"/>
    <b v="1"/>
    <x v="20"/>
    <x v="1331"/>
    <n v="9223"/>
    <x v="8"/>
    <x v="20"/>
  </r>
  <r>
    <x v="1748"/>
    <x v="1748"/>
    <s v="Telling the story of the city through remarkable people who live in Vancouver today."/>
    <n v="50000"/>
    <n v="64974"/>
    <x v="0"/>
    <x v="5"/>
    <x v="5"/>
    <n v="1441234143"/>
    <n v="1438642143"/>
    <b v="0"/>
    <x v="331"/>
    <b v="1"/>
    <x v="20"/>
    <x v="1332"/>
    <n v="57487"/>
    <x v="8"/>
    <x v="20"/>
  </r>
  <r>
    <x v="1749"/>
    <x v="1749"/>
    <s v="Help me fund the production run of my first book by local Photographer Sandro Ortolani."/>
    <n v="10050"/>
    <n v="12410.5"/>
    <x v="0"/>
    <x v="19"/>
    <x v="3"/>
    <n v="1488394800"/>
    <n v="1485213921"/>
    <b v="0"/>
    <x v="132"/>
    <b v="1"/>
    <x v="20"/>
    <x v="1333"/>
    <n v="11230.25"/>
    <x v="8"/>
    <x v="20"/>
  </r>
  <r>
    <x v="1750"/>
    <x v="1750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x v="207"/>
    <b v="1"/>
    <x v="20"/>
    <x v="1334"/>
    <n v="7540.5"/>
    <x v="8"/>
    <x v="20"/>
  </r>
  <r>
    <x v="1751"/>
    <x v="1751"/>
    <s v="Photographs and stories culled from 10 years of road trips through rural Greece"/>
    <n v="10000"/>
    <n v="10290"/>
    <x v="0"/>
    <x v="0"/>
    <x v="0"/>
    <n v="1426787123"/>
    <n v="1424198723"/>
    <b v="0"/>
    <x v="42"/>
    <b v="1"/>
    <x v="20"/>
    <x v="1335"/>
    <n v="10145"/>
    <x v="8"/>
    <x v="20"/>
  </r>
  <r>
    <x v="1752"/>
    <x v="1752"/>
    <s v="A little book of calm, in picture form, that will soothe the soul and un-furrow the brow."/>
    <n v="1200"/>
    <n v="3122"/>
    <x v="0"/>
    <x v="1"/>
    <x v="1"/>
    <n v="1476425082"/>
    <n v="1473833082"/>
    <b v="0"/>
    <x v="240"/>
    <b v="1"/>
    <x v="20"/>
    <x v="1336"/>
    <n v="2161"/>
    <x v="8"/>
    <x v="20"/>
  </r>
  <r>
    <x v="1753"/>
    <x v="1753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x v="2"/>
    <b v="1"/>
    <x v="20"/>
    <x v="1277"/>
    <n v="15600"/>
    <x v="8"/>
    <x v="20"/>
  </r>
  <r>
    <x v="1754"/>
    <x v="1754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x v="240"/>
    <b v="1"/>
    <x v="20"/>
    <x v="1337"/>
    <n v="8947.5"/>
    <x v="8"/>
    <x v="20"/>
  </r>
  <r>
    <x v="1755"/>
    <x v="1755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x v="80"/>
    <b v="1"/>
    <x v="20"/>
    <x v="43"/>
    <n v="27.5"/>
    <x v="8"/>
    <x v="20"/>
  </r>
  <r>
    <x v="1756"/>
    <x v="1756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x v="148"/>
    <b v="1"/>
    <x v="20"/>
    <x v="1338"/>
    <n v="5577.8"/>
    <x v="8"/>
    <x v="20"/>
  </r>
  <r>
    <x v="1757"/>
    <x v="1757"/>
    <s v="I want to create a self published photo art book on the topic of the resurgence of femininity."/>
    <n v="5000"/>
    <n v="5800"/>
    <x v="0"/>
    <x v="0"/>
    <x v="0"/>
    <n v="1485631740"/>
    <n v="1483041083"/>
    <b v="0"/>
    <x v="25"/>
    <b v="1"/>
    <x v="20"/>
    <x v="1339"/>
    <n v="5400"/>
    <x v="8"/>
    <x v="20"/>
  </r>
  <r>
    <x v="1758"/>
    <x v="1758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x v="74"/>
    <b v="1"/>
    <x v="20"/>
    <x v="1340"/>
    <n v="1073.5"/>
    <x v="8"/>
    <x v="20"/>
  </r>
  <r>
    <x v="1759"/>
    <x v="1759"/>
    <s v="Death Valley will be the first photo book of Andi State"/>
    <n v="5000"/>
    <n v="5330"/>
    <x v="0"/>
    <x v="0"/>
    <x v="0"/>
    <n v="1427309629"/>
    <n v="1425585229"/>
    <b v="0"/>
    <x v="72"/>
    <b v="1"/>
    <x v="20"/>
    <x v="15"/>
    <n v="5165"/>
    <x v="8"/>
    <x v="20"/>
  </r>
  <r>
    <x v="1760"/>
    <x v="1760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x v="332"/>
    <b v="1"/>
    <x v="20"/>
    <x v="1341"/>
    <n v="6636"/>
    <x v="8"/>
    <x v="20"/>
  </r>
  <r>
    <x v="1761"/>
    <x v="1761"/>
    <s v="A hardcover photobook telling the naked truth of a young photographers journey."/>
    <n v="100"/>
    <n v="155"/>
    <x v="0"/>
    <x v="1"/>
    <x v="1"/>
    <n v="1442065060"/>
    <n v="1437745060"/>
    <b v="0"/>
    <x v="83"/>
    <b v="1"/>
    <x v="20"/>
    <x v="1342"/>
    <n v="127.5"/>
    <x v="8"/>
    <x v="20"/>
  </r>
  <r>
    <x v="1762"/>
    <x v="1762"/>
    <s v="Project rewards $25 gets you 190+ digital images"/>
    <n v="100"/>
    <n v="885"/>
    <x v="0"/>
    <x v="0"/>
    <x v="0"/>
    <n v="1457739245"/>
    <n v="1455147245"/>
    <b v="0"/>
    <x v="20"/>
    <b v="1"/>
    <x v="20"/>
    <x v="1343"/>
    <n v="492.5"/>
    <x v="8"/>
    <x v="20"/>
  </r>
  <r>
    <x v="1763"/>
    <x v="1763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x v="115"/>
    <b v="1"/>
    <x v="20"/>
    <x v="1344"/>
    <n v="12114.5"/>
    <x v="8"/>
    <x v="20"/>
  </r>
  <r>
    <x v="1764"/>
    <x v="1764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x v="70"/>
    <b v="0"/>
    <x v="20"/>
    <x v="1345"/>
    <n v="6578"/>
    <x v="8"/>
    <x v="20"/>
  </r>
  <r>
    <x v="1765"/>
    <x v="1765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x v="273"/>
    <b v="0"/>
    <x v="20"/>
    <x v="1346"/>
    <n v="9966.74"/>
    <x v="8"/>
    <x v="20"/>
  </r>
  <r>
    <x v="1766"/>
    <x v="1766"/>
    <s v="I want to create a beautiful book which documents the Melbourne music scene."/>
    <n v="1500"/>
    <n v="0"/>
    <x v="2"/>
    <x v="2"/>
    <x v="2"/>
    <n v="1408999088"/>
    <n v="1407184688"/>
    <b v="1"/>
    <x v="78"/>
    <b v="0"/>
    <x v="20"/>
    <x v="109"/>
    <n v="750"/>
    <x v="8"/>
    <x v="20"/>
  </r>
  <r>
    <x v="1767"/>
    <x v="1767"/>
    <s v="A photographic search for the true meaning of pride for ones country during the World Cup"/>
    <n v="5000"/>
    <n v="2286"/>
    <x v="2"/>
    <x v="0"/>
    <x v="0"/>
    <n v="1407080884"/>
    <n v="1404488884"/>
    <b v="1"/>
    <x v="70"/>
    <b v="0"/>
    <x v="20"/>
    <x v="1347"/>
    <n v="3643"/>
    <x v="8"/>
    <x v="20"/>
  </r>
  <r>
    <x v="1768"/>
    <x v="1768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x v="41"/>
    <b v="0"/>
    <x v="20"/>
    <x v="1348"/>
    <n v="2593.5"/>
    <x v="8"/>
    <x v="20"/>
  </r>
  <r>
    <x v="1769"/>
    <x v="1769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x v="19"/>
    <b v="0"/>
    <x v="20"/>
    <x v="1349"/>
    <n v="20540.5"/>
    <x v="8"/>
    <x v="20"/>
  </r>
  <r>
    <x v="1770"/>
    <x v="1770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x v="297"/>
    <b v="0"/>
    <x v="20"/>
    <x v="1350"/>
    <n v="19173"/>
    <x v="8"/>
    <x v="20"/>
  </r>
  <r>
    <x v="1771"/>
    <x v="1771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x v="20"/>
    <b v="0"/>
    <x v="20"/>
    <x v="1351"/>
    <n v="2547.5"/>
    <x v="8"/>
    <x v="20"/>
  </r>
  <r>
    <x v="1772"/>
    <x v="1772"/>
    <s v="A photobook and a short documentary film telling the story of Holocaust in Northwestern Lithuania"/>
    <n v="5500"/>
    <n v="858"/>
    <x v="2"/>
    <x v="1"/>
    <x v="1"/>
    <n v="1404666836"/>
    <n v="1399482836"/>
    <b v="1"/>
    <x v="10"/>
    <b v="0"/>
    <x v="20"/>
    <x v="1352"/>
    <n v="3179"/>
    <x v="8"/>
    <x v="20"/>
  </r>
  <r>
    <x v="1773"/>
    <x v="1773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x v="10"/>
    <b v="0"/>
    <x v="20"/>
    <x v="1353"/>
    <n v="15938.5"/>
    <x v="8"/>
    <x v="20"/>
  </r>
  <r>
    <x v="1774"/>
    <x v="1774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x v="62"/>
    <b v="0"/>
    <x v="20"/>
    <x v="768"/>
    <n v="1824"/>
    <x v="8"/>
    <x v="20"/>
  </r>
  <r>
    <x v="1775"/>
    <x v="1775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x v="204"/>
    <b v="0"/>
    <x v="20"/>
    <x v="1354"/>
    <n v="26829"/>
    <x v="8"/>
    <x v="20"/>
  </r>
  <r>
    <x v="1776"/>
    <x v="1776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x v="80"/>
    <b v="0"/>
    <x v="20"/>
    <x v="1355"/>
    <n v="2667.5"/>
    <x v="8"/>
    <x v="20"/>
  </r>
  <r>
    <x v="1777"/>
    <x v="1777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x v="73"/>
    <b v="0"/>
    <x v="20"/>
    <x v="1356"/>
    <n v="2725.5"/>
    <x v="8"/>
    <x v="20"/>
  </r>
  <r>
    <x v="1778"/>
    <x v="1778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x v="41"/>
    <b v="0"/>
    <x v="20"/>
    <x v="1357"/>
    <n v="25497.5"/>
    <x v="8"/>
    <x v="20"/>
  </r>
  <r>
    <x v="1779"/>
    <x v="1779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x v="44"/>
    <b v="0"/>
    <x v="20"/>
    <x v="1358"/>
    <n v="7493"/>
    <x v="8"/>
    <x v="20"/>
  </r>
  <r>
    <x v="1780"/>
    <x v="1780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x v="215"/>
    <b v="0"/>
    <x v="20"/>
    <x v="1359"/>
    <n v="20961.5"/>
    <x v="8"/>
    <x v="20"/>
  </r>
  <r>
    <x v="1781"/>
    <x v="1781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x v="54"/>
    <b v="0"/>
    <x v="20"/>
    <x v="1360"/>
    <n v="3458.5"/>
    <x v="8"/>
    <x v="20"/>
  </r>
  <r>
    <x v="1782"/>
    <x v="1782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x v="88"/>
    <b v="0"/>
    <x v="20"/>
    <x v="1361"/>
    <n v="20211"/>
    <x v="8"/>
    <x v="20"/>
  </r>
  <r>
    <x v="1783"/>
    <x v="1783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x v="333"/>
    <b v="0"/>
    <x v="20"/>
    <x v="1362"/>
    <n v="24738.5"/>
    <x v="8"/>
    <x v="20"/>
  </r>
  <r>
    <x v="1784"/>
    <x v="1784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x v="51"/>
    <b v="0"/>
    <x v="20"/>
    <x v="1363"/>
    <n v="3494"/>
    <x v="8"/>
    <x v="20"/>
  </r>
  <r>
    <x v="1785"/>
    <x v="1785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x v="52"/>
    <b v="0"/>
    <x v="20"/>
    <x v="1364"/>
    <n v="14426.5"/>
    <x v="8"/>
    <x v="20"/>
  </r>
  <r>
    <x v="1786"/>
    <x v="178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x v="60"/>
    <b v="0"/>
    <x v="20"/>
    <x v="1365"/>
    <n v="1402.5"/>
    <x v="8"/>
    <x v="20"/>
  </r>
  <r>
    <x v="1787"/>
    <x v="1787"/>
    <s v="Raising awareness to the effects of global warming through photographs of the high mountains of Peru."/>
    <n v="10000"/>
    <n v="1533"/>
    <x v="2"/>
    <x v="0"/>
    <x v="0"/>
    <n v="1428158637"/>
    <n v="1425570237"/>
    <b v="1"/>
    <x v="54"/>
    <b v="0"/>
    <x v="20"/>
    <x v="1366"/>
    <n v="5766.5"/>
    <x v="8"/>
    <x v="20"/>
  </r>
  <r>
    <x v="1788"/>
    <x v="1788"/>
    <s v="A photo book celebrating Goths, exploring their lives and giving an insight into what Goth is for them."/>
    <n v="5500"/>
    <n v="76"/>
    <x v="2"/>
    <x v="1"/>
    <x v="1"/>
    <n v="1414795542"/>
    <n v="1412203542"/>
    <b v="1"/>
    <x v="80"/>
    <b v="0"/>
    <x v="20"/>
    <x v="1367"/>
    <n v="2788"/>
    <x v="8"/>
    <x v="20"/>
  </r>
  <r>
    <x v="1789"/>
    <x v="1789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x v="80"/>
    <b v="0"/>
    <x v="20"/>
    <x v="724"/>
    <n v="4020"/>
    <x v="8"/>
    <x v="20"/>
  </r>
  <r>
    <x v="1790"/>
    <x v="1790"/>
    <s v="70 years of incredible photography sits patiently in old film sheet boxes, waiting for a return to relevance."/>
    <n v="33000"/>
    <n v="1636"/>
    <x v="2"/>
    <x v="0"/>
    <x v="0"/>
    <n v="1423152678"/>
    <n v="1420560678"/>
    <b v="1"/>
    <x v="41"/>
    <b v="0"/>
    <x v="20"/>
    <x v="1368"/>
    <n v="17318"/>
    <x v="8"/>
    <x v="20"/>
  </r>
  <r>
    <x v="1791"/>
    <x v="1791"/>
    <s v="For the love of street photography and the beauty of traditional cultures in southern Italy."/>
    <n v="3000"/>
    <n v="107"/>
    <x v="2"/>
    <x v="1"/>
    <x v="1"/>
    <n v="1422553565"/>
    <n v="1417369565"/>
    <b v="1"/>
    <x v="80"/>
    <b v="0"/>
    <x v="20"/>
    <x v="1369"/>
    <n v="1553.5"/>
    <x v="8"/>
    <x v="20"/>
  </r>
  <r>
    <x v="1792"/>
    <x v="1792"/>
    <s v="In 1970 Helaine Garren shot a series of images at Bensingerâ€™s Pool Hall in Chicago, Illinois."/>
    <n v="25000"/>
    <n v="15281"/>
    <x v="2"/>
    <x v="0"/>
    <x v="0"/>
    <n v="1439189940"/>
    <n v="1435970682"/>
    <b v="1"/>
    <x v="237"/>
    <b v="0"/>
    <x v="20"/>
    <x v="1370"/>
    <n v="20140.5"/>
    <x v="8"/>
    <x v="20"/>
  </r>
  <r>
    <x v="1793"/>
    <x v="1793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x v="84"/>
    <b v="0"/>
    <x v="20"/>
    <x v="843"/>
    <n v="1520"/>
    <x v="8"/>
    <x v="2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x v="59"/>
    <b v="0"/>
    <x v="20"/>
    <x v="1371"/>
    <n v="4998.5"/>
    <x v="8"/>
    <x v="20"/>
  </r>
  <r>
    <x v="1795"/>
    <x v="1795"/>
    <s v="A photography book documenting the impact of the ISAF mission on the Afghan people of Mazar-e Sharif."/>
    <n v="28000"/>
    <n v="10846"/>
    <x v="2"/>
    <x v="12"/>
    <x v="3"/>
    <n v="1476460800"/>
    <n v="1473922541"/>
    <b v="1"/>
    <x v="75"/>
    <b v="0"/>
    <x v="20"/>
    <x v="1372"/>
    <n v="19423"/>
    <x v="8"/>
    <x v="20"/>
  </r>
  <r>
    <x v="1796"/>
    <x v="1796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x v="48"/>
    <b v="0"/>
    <x v="20"/>
    <x v="1373"/>
    <n v="11595"/>
    <x v="8"/>
    <x v="20"/>
  </r>
  <r>
    <x v="1797"/>
    <x v="1797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x v="205"/>
    <b v="0"/>
    <x v="20"/>
    <x v="697"/>
    <n v="8377.5"/>
    <x v="8"/>
    <x v="20"/>
  </r>
  <r>
    <x v="1798"/>
    <x v="1798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x v="77"/>
    <b v="0"/>
    <x v="20"/>
    <x v="1374"/>
    <n v="9091"/>
    <x v="8"/>
    <x v="20"/>
  </r>
  <r>
    <x v="1799"/>
    <x v="1799"/>
    <s v="The UnDiscovered Image, a monthly publication dedicated to photographers."/>
    <n v="4000"/>
    <n v="69.83"/>
    <x v="2"/>
    <x v="1"/>
    <x v="1"/>
    <n v="1415740408"/>
    <n v="1414008808"/>
    <b v="1"/>
    <x v="79"/>
    <b v="0"/>
    <x v="20"/>
    <x v="1375"/>
    <n v="2034.915"/>
    <x v="8"/>
    <x v="20"/>
  </r>
  <r>
    <x v="1800"/>
    <x v="1800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x v="116"/>
    <b v="0"/>
    <x v="20"/>
    <x v="1376"/>
    <n v="27860"/>
    <x v="8"/>
    <x v="20"/>
  </r>
  <r>
    <x v="1801"/>
    <x v="1801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x v="77"/>
    <b v="0"/>
    <x v="20"/>
    <x v="1377"/>
    <n v="9677.5"/>
    <x v="8"/>
    <x v="20"/>
  </r>
  <r>
    <x v="1802"/>
    <x v="1802"/>
    <s v="Inner Darkness turned into a photobook. Personal work i shot during my recovery...in Berlin."/>
    <n v="3500"/>
    <n v="1697"/>
    <x v="2"/>
    <x v="12"/>
    <x v="3"/>
    <n v="1435442340"/>
    <n v="1433416830"/>
    <b v="1"/>
    <x v="59"/>
    <b v="0"/>
    <x v="20"/>
    <x v="1378"/>
    <n v="2598.5"/>
    <x v="8"/>
    <x v="20"/>
  </r>
  <r>
    <x v="1803"/>
    <x v="1803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x v="11"/>
    <b v="0"/>
    <x v="20"/>
    <x v="1379"/>
    <n v="11445"/>
    <x v="8"/>
    <x v="20"/>
  </r>
  <r>
    <x v="1804"/>
    <x v="1804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x v="47"/>
    <b v="0"/>
    <x v="20"/>
    <x v="1380"/>
    <n v="10476"/>
    <x v="8"/>
    <x v="20"/>
  </r>
  <r>
    <x v="1805"/>
    <x v="1805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x v="259"/>
    <b v="0"/>
    <x v="20"/>
    <x v="1381"/>
    <n v="15345.5"/>
    <x v="8"/>
    <x v="20"/>
  </r>
  <r>
    <x v="1806"/>
    <x v="1806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x v="22"/>
    <b v="0"/>
    <x v="20"/>
    <x v="1382"/>
    <n v="10295.5"/>
    <x v="8"/>
    <x v="20"/>
  </r>
  <r>
    <x v="1807"/>
    <x v="1807"/>
    <s v="I want to explore alternative cultures and lifestyles in America."/>
    <n v="5000"/>
    <n v="553"/>
    <x v="2"/>
    <x v="0"/>
    <x v="0"/>
    <n v="1411868313"/>
    <n v="1409276313"/>
    <b v="1"/>
    <x v="22"/>
    <b v="0"/>
    <x v="20"/>
    <x v="1383"/>
    <n v="2776.5"/>
    <x v="8"/>
    <x v="20"/>
  </r>
  <r>
    <x v="1808"/>
    <x v="1808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x v="93"/>
    <b v="0"/>
    <x v="20"/>
    <x v="1384"/>
    <n v="19797"/>
    <x v="8"/>
    <x v="20"/>
  </r>
  <r>
    <x v="1809"/>
    <x v="1809"/>
    <s v="A stunning photo book highlighting the visual diversity of the City of Hamilton and showcasing it in a new light."/>
    <n v="3500"/>
    <n v="380"/>
    <x v="2"/>
    <x v="5"/>
    <x v="5"/>
    <n v="1425246439"/>
    <n v="1422222439"/>
    <b v="1"/>
    <x v="82"/>
    <b v="0"/>
    <x v="20"/>
    <x v="1385"/>
    <n v="1940"/>
    <x v="8"/>
    <x v="20"/>
  </r>
  <r>
    <x v="1810"/>
    <x v="1810"/>
    <s v="Film Speed is a series of Zines focusing on architecture shot completely on 35 and 120mm film."/>
    <n v="450"/>
    <n v="15"/>
    <x v="2"/>
    <x v="0"/>
    <x v="0"/>
    <n v="1408657826"/>
    <n v="1407621026"/>
    <b v="0"/>
    <x v="84"/>
    <b v="0"/>
    <x v="20"/>
    <x v="422"/>
    <n v="232.5"/>
    <x v="8"/>
    <x v="20"/>
  </r>
  <r>
    <x v="1811"/>
    <x v="1811"/>
    <s v="A collection of 365 color photographs of sunsets in 2014, beautifully presented in a hardcover book."/>
    <n v="54000"/>
    <n v="40"/>
    <x v="2"/>
    <x v="0"/>
    <x v="0"/>
    <n v="1414123200"/>
    <n v="1408962270"/>
    <b v="0"/>
    <x v="55"/>
    <b v="0"/>
    <x v="20"/>
    <x v="1386"/>
    <n v="27020"/>
    <x v="8"/>
    <x v="20"/>
  </r>
  <r>
    <x v="1812"/>
    <x v="1812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x v="23"/>
    <b v="0"/>
    <x v="20"/>
    <x v="1387"/>
    <n v="3682.5"/>
    <x v="8"/>
    <x v="20"/>
  </r>
  <r>
    <x v="1813"/>
    <x v="1813"/>
    <s v="This project aims to document, Libyan photographic history; through both print and artisan mediums ."/>
    <n v="8750"/>
    <n v="0"/>
    <x v="2"/>
    <x v="1"/>
    <x v="1"/>
    <n v="1407532812"/>
    <n v="1404940812"/>
    <b v="0"/>
    <x v="78"/>
    <b v="0"/>
    <x v="20"/>
    <x v="109"/>
    <n v="4375"/>
    <x v="8"/>
    <x v="20"/>
  </r>
  <r>
    <x v="1814"/>
    <x v="1814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x v="205"/>
    <b v="0"/>
    <x v="20"/>
    <x v="1388"/>
    <n v="8951"/>
    <x v="8"/>
    <x v="20"/>
  </r>
  <r>
    <x v="1815"/>
    <x v="1815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x v="78"/>
    <b v="0"/>
    <x v="20"/>
    <x v="109"/>
    <n v="1500"/>
    <x v="8"/>
    <x v="20"/>
  </r>
  <r>
    <x v="1816"/>
    <x v="1816"/>
    <s v="A unique Photographic Book Project about the Passionate Moments and Strong Emotions that lie within Karate"/>
    <n v="25000"/>
    <n v="509"/>
    <x v="2"/>
    <x v="16"/>
    <x v="11"/>
    <n v="1469473200"/>
    <n v="1467061303"/>
    <b v="0"/>
    <x v="79"/>
    <b v="0"/>
    <x v="20"/>
    <x v="1389"/>
    <n v="12754.5"/>
    <x v="8"/>
    <x v="20"/>
  </r>
  <r>
    <x v="1817"/>
    <x v="1817"/>
    <s v="Hundreds of breathtaking rodeo photographs collected in a beautiful coffee table book."/>
    <n v="18000"/>
    <n v="9419"/>
    <x v="2"/>
    <x v="0"/>
    <x v="0"/>
    <n v="1485759540"/>
    <n v="1480607607"/>
    <b v="0"/>
    <x v="61"/>
    <b v="0"/>
    <x v="20"/>
    <x v="1390"/>
    <n v="13709.5"/>
    <x v="8"/>
    <x v="20"/>
  </r>
  <r>
    <x v="1818"/>
    <x v="1818"/>
    <s v="We are all different, this is a way to honor and celebrate the authenticity in being different."/>
    <n v="15000"/>
    <n v="0"/>
    <x v="2"/>
    <x v="0"/>
    <x v="0"/>
    <n v="1428035850"/>
    <n v="1425447450"/>
    <b v="0"/>
    <x v="78"/>
    <b v="0"/>
    <x v="20"/>
    <x v="109"/>
    <n v="7500"/>
    <x v="8"/>
    <x v="20"/>
  </r>
  <r>
    <x v="1819"/>
    <x v="1819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x v="80"/>
    <b v="0"/>
    <x v="20"/>
    <x v="1391"/>
    <n v="612.5"/>
    <x v="8"/>
    <x v="20"/>
  </r>
  <r>
    <x v="1820"/>
    <x v="1820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x v="22"/>
    <b v="0"/>
    <x v="20"/>
    <x v="1392"/>
    <n v="13853.5"/>
    <x v="8"/>
    <x v="20"/>
  </r>
  <r>
    <x v="1821"/>
    <x v="1821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x v="7"/>
    <b v="1"/>
    <x v="11"/>
    <x v="1393"/>
    <n v="2936.125"/>
    <x v="4"/>
    <x v="11"/>
  </r>
  <r>
    <x v="1822"/>
    <x v="1822"/>
    <s v="Wood Butcher needs your help to make this happen. Buy a CD, support local music!"/>
    <n v="300"/>
    <n v="300"/>
    <x v="0"/>
    <x v="5"/>
    <x v="5"/>
    <n v="1391194860"/>
    <n v="1388084862"/>
    <b v="0"/>
    <x v="202"/>
    <b v="1"/>
    <x v="11"/>
    <x v="31"/>
    <n v="300"/>
    <x v="4"/>
    <x v="11"/>
  </r>
  <r>
    <x v="1823"/>
    <x v="1823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x v="51"/>
    <b v="1"/>
    <x v="11"/>
    <x v="1394"/>
    <n v="755.5"/>
    <x v="4"/>
    <x v="11"/>
  </r>
  <r>
    <x v="1824"/>
    <x v="1824"/>
    <s v="cd fund raiser"/>
    <n v="3000"/>
    <n v="3002"/>
    <x v="0"/>
    <x v="0"/>
    <x v="0"/>
    <n v="1389146880"/>
    <n v="1387403967"/>
    <b v="0"/>
    <x v="244"/>
    <b v="1"/>
    <x v="11"/>
    <x v="1395"/>
    <n v="3001"/>
    <x v="4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x v="133"/>
    <b v="1"/>
    <x v="11"/>
    <x v="1396"/>
    <n v="2050.5"/>
    <x v="4"/>
    <x v="11"/>
  </r>
  <r>
    <x v="1826"/>
    <x v="1826"/>
    <s v="Hear your favorite Bear Ghost in eargasmic quality!"/>
    <n v="2000"/>
    <n v="2020"/>
    <x v="0"/>
    <x v="0"/>
    <x v="0"/>
    <n v="1392675017"/>
    <n v="1390083017"/>
    <b v="0"/>
    <x v="44"/>
    <b v="1"/>
    <x v="11"/>
    <x v="50"/>
    <n v="2010"/>
    <x v="4"/>
    <x v="11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x v="93"/>
    <b v="1"/>
    <x v="11"/>
    <x v="1397"/>
    <n v="8026.5"/>
    <x v="4"/>
    <x v="1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x v="53"/>
    <b v="1"/>
    <x v="11"/>
    <x v="1398"/>
    <n v="20016"/>
    <x v="4"/>
    <x v="11"/>
  </r>
  <r>
    <x v="1829"/>
    <x v="1829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x v="51"/>
    <b v="1"/>
    <x v="11"/>
    <x v="1399"/>
    <n v="2000.125"/>
    <x v="4"/>
    <x v="11"/>
  </r>
  <r>
    <x v="1830"/>
    <x v="1830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x v="334"/>
    <b v="1"/>
    <x v="11"/>
    <x v="1400"/>
    <n v="15115"/>
    <x v="4"/>
    <x v="11"/>
  </r>
  <r>
    <x v="1831"/>
    <x v="1831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x v="25"/>
    <b v="1"/>
    <x v="11"/>
    <x v="288"/>
    <n v="1015"/>
    <x v="4"/>
    <x v="11"/>
  </r>
  <r>
    <x v="1832"/>
    <x v="1832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x v="9"/>
    <b v="1"/>
    <x v="11"/>
    <x v="1401"/>
    <n v="425"/>
    <x v="4"/>
    <x v="11"/>
  </r>
  <r>
    <x v="1833"/>
    <x v="1833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x v="20"/>
    <b v="1"/>
    <x v="11"/>
    <x v="1402"/>
    <n v="725"/>
    <x v="4"/>
    <x v="11"/>
  </r>
  <r>
    <x v="1834"/>
    <x v="1834"/>
    <s v="Help us fund our first tour and promote our new EP!"/>
    <n v="10000"/>
    <n v="11805"/>
    <x v="0"/>
    <x v="0"/>
    <x v="0"/>
    <n v="1422140895"/>
    <n v="1418684895"/>
    <b v="0"/>
    <x v="240"/>
    <b v="1"/>
    <x v="11"/>
    <x v="1403"/>
    <n v="10902.5"/>
    <x v="4"/>
    <x v="11"/>
  </r>
  <r>
    <x v="1835"/>
    <x v="1835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x v="202"/>
    <b v="1"/>
    <x v="11"/>
    <x v="87"/>
    <n v="510"/>
    <x v="4"/>
    <x v="11"/>
  </r>
  <r>
    <x v="1836"/>
    <x v="1836"/>
    <s v="Help fund our 2013 Sound &amp; Lighting Touring rig!"/>
    <n v="5000"/>
    <n v="10017"/>
    <x v="0"/>
    <x v="0"/>
    <x v="0"/>
    <n v="1361129129"/>
    <n v="1359660329"/>
    <b v="0"/>
    <x v="165"/>
    <b v="1"/>
    <x v="11"/>
    <x v="1404"/>
    <n v="7508.5"/>
    <x v="4"/>
    <x v="11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x v="209"/>
    <b v="1"/>
    <x v="11"/>
    <x v="1405"/>
    <n v="1220.5"/>
    <x v="4"/>
    <x v="11"/>
  </r>
  <r>
    <x v="1838"/>
    <x v="1838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x v="33"/>
    <b v="1"/>
    <x v="11"/>
    <x v="1406"/>
    <n v="1000.745"/>
    <x v="4"/>
    <x v="11"/>
  </r>
  <r>
    <x v="1839"/>
    <x v="1839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x v="43"/>
    <b v="1"/>
    <x v="11"/>
    <x v="1407"/>
    <n v="1526.5"/>
    <x v="4"/>
    <x v="11"/>
  </r>
  <r>
    <x v="1840"/>
    <x v="1840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x v="62"/>
    <b v="1"/>
    <x v="11"/>
    <x v="1408"/>
    <n v="940"/>
    <x v="4"/>
    <x v="11"/>
  </r>
  <r>
    <x v="1841"/>
    <x v="1841"/>
    <s v="Hard Rock with a Positive Message. Help us fund, release and promote our debut EP!"/>
    <n v="2000"/>
    <n v="2035"/>
    <x v="0"/>
    <x v="0"/>
    <x v="0"/>
    <n v="1400561940"/>
    <n v="1397679445"/>
    <b v="0"/>
    <x v="244"/>
    <b v="1"/>
    <x v="11"/>
    <x v="1409"/>
    <n v="2017.5"/>
    <x v="4"/>
    <x v="11"/>
  </r>
  <r>
    <x v="1842"/>
    <x v="1842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x v="64"/>
    <b v="1"/>
    <x v="11"/>
    <x v="1410"/>
    <n v="2252.5"/>
    <x v="4"/>
    <x v="11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x v="179"/>
    <b v="1"/>
    <x v="11"/>
    <x v="1411"/>
    <n v="11200.305"/>
    <x v="4"/>
    <x v="11"/>
  </r>
  <r>
    <x v="1844"/>
    <x v="1844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x v="9"/>
    <b v="1"/>
    <x v="11"/>
    <x v="578"/>
    <n v="1510.5"/>
    <x v="4"/>
    <x v="11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x v="10"/>
    <b v="1"/>
    <x v="11"/>
    <x v="31"/>
    <n v="1000"/>
    <x v="4"/>
    <x v="11"/>
  </r>
  <r>
    <x v="1846"/>
    <x v="1846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x v="335"/>
    <b v="1"/>
    <x v="11"/>
    <x v="1412"/>
    <n v="17844.5"/>
    <x v="4"/>
    <x v="11"/>
  </r>
  <r>
    <x v="1847"/>
    <x v="1847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x v="44"/>
    <b v="1"/>
    <x v="11"/>
    <x v="1413"/>
    <n v="2761"/>
    <x v="4"/>
    <x v="11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x v="54"/>
    <b v="1"/>
    <x v="11"/>
    <x v="1414"/>
    <n v="3110.5"/>
    <x v="4"/>
    <x v="11"/>
  </r>
  <r>
    <x v="1849"/>
    <x v="1849"/>
    <s v="Release the Skylines is a small, local Cleveland metal band looking to record an album."/>
    <n v="300"/>
    <n v="301"/>
    <x v="0"/>
    <x v="0"/>
    <x v="0"/>
    <n v="1350505059"/>
    <n v="1347913059"/>
    <b v="0"/>
    <x v="22"/>
    <b v="1"/>
    <x v="11"/>
    <x v="1415"/>
    <n v="300.5"/>
    <x v="4"/>
    <x v="11"/>
  </r>
  <r>
    <x v="1850"/>
    <x v="1850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x v="122"/>
    <b v="1"/>
    <x v="11"/>
    <x v="1416"/>
    <n v="9068.5"/>
    <x v="4"/>
    <x v="11"/>
  </r>
  <r>
    <x v="1851"/>
    <x v="1851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x v="55"/>
    <b v="1"/>
    <x v="11"/>
    <x v="1417"/>
    <n v="1300.5"/>
    <x v="4"/>
    <x v="11"/>
  </r>
  <r>
    <x v="1852"/>
    <x v="1852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x v="132"/>
    <b v="1"/>
    <x v="11"/>
    <x v="1418"/>
    <n v="16272.5"/>
    <x v="4"/>
    <x v="11"/>
  </r>
  <r>
    <x v="1853"/>
    <x v="1853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x v="25"/>
    <b v="1"/>
    <x v="11"/>
    <x v="1419"/>
    <n v="807.5"/>
    <x v="4"/>
    <x v="11"/>
  </r>
  <r>
    <x v="1854"/>
    <x v="1854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x v="49"/>
    <b v="1"/>
    <x v="11"/>
    <x v="1420"/>
    <n v="15159.275"/>
    <x v="4"/>
    <x v="11"/>
  </r>
  <r>
    <x v="1855"/>
    <x v="1855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x v="277"/>
    <b v="1"/>
    <x v="11"/>
    <x v="1421"/>
    <n v="11115.08"/>
    <x v="4"/>
    <x v="11"/>
  </r>
  <r>
    <x v="1856"/>
    <x v="1856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x v="44"/>
    <b v="1"/>
    <x v="11"/>
    <x v="982"/>
    <n v="2012.5"/>
    <x v="4"/>
    <x v="11"/>
  </r>
  <r>
    <x v="1857"/>
    <x v="1857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x v="19"/>
    <b v="1"/>
    <x v="11"/>
    <x v="31"/>
    <n v="3000"/>
    <x v="4"/>
    <x v="11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x v="184"/>
    <b v="1"/>
    <x v="11"/>
    <x v="1422"/>
    <n v="5798.55"/>
    <x v="4"/>
    <x v="11"/>
  </r>
  <r>
    <x v="1859"/>
    <x v="1859"/>
    <s v="Queen Kwong is going ON TOUR to London and Paris!"/>
    <n v="3000"/>
    <n v="3955"/>
    <x v="0"/>
    <x v="0"/>
    <x v="0"/>
    <n v="1316716129"/>
    <n v="1314124129"/>
    <b v="0"/>
    <x v="66"/>
    <b v="1"/>
    <x v="11"/>
    <x v="1423"/>
    <n v="3477.5"/>
    <x v="4"/>
    <x v="11"/>
  </r>
  <r>
    <x v="1860"/>
    <x v="1860"/>
    <s v="ASC had a one-of-a-kind CD release party in 2013, and we want to share it with the world - in DVD format!"/>
    <n v="750"/>
    <n v="1001"/>
    <x v="0"/>
    <x v="0"/>
    <x v="0"/>
    <n v="1391706084"/>
    <n v="1389891684"/>
    <b v="0"/>
    <x v="10"/>
    <b v="1"/>
    <x v="11"/>
    <x v="1424"/>
    <n v="875.5"/>
    <x v="4"/>
    <x v="11"/>
  </r>
  <r>
    <x v="1861"/>
    <x v="1861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x v="78"/>
    <b v="0"/>
    <x v="18"/>
    <x v="109"/>
    <n v="125000"/>
    <x v="6"/>
    <x v="18"/>
  </r>
  <r>
    <x v="1862"/>
    <x v="1862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x v="38"/>
    <b v="0"/>
    <x v="18"/>
    <x v="1425"/>
    <n v="9727.5"/>
    <x v="6"/>
    <x v="18"/>
  </r>
  <r>
    <x v="1863"/>
    <x v="1863"/>
    <s v="This is an Android game where you take control of the zombies and try to eat your way to world domination!"/>
    <n v="2500"/>
    <n v="10"/>
    <x v="2"/>
    <x v="0"/>
    <x v="0"/>
    <n v="1402600085"/>
    <n v="1400008085"/>
    <b v="0"/>
    <x v="84"/>
    <b v="0"/>
    <x v="18"/>
    <x v="177"/>
    <n v="1255"/>
    <x v="6"/>
    <x v="18"/>
  </r>
  <r>
    <x v="1864"/>
    <x v="1864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x v="53"/>
    <b v="0"/>
    <x v="18"/>
    <x v="1426"/>
    <n v="4644"/>
    <x v="6"/>
    <x v="18"/>
  </r>
  <r>
    <x v="1865"/>
    <x v="1865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x v="84"/>
    <b v="0"/>
    <x v="18"/>
    <x v="1427"/>
    <n v="55002"/>
    <x v="6"/>
    <x v="18"/>
  </r>
  <r>
    <x v="1866"/>
    <x v="1866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x v="84"/>
    <b v="0"/>
    <x v="18"/>
    <x v="724"/>
    <n v="12562.5"/>
    <x v="6"/>
    <x v="18"/>
  </r>
  <r>
    <x v="1867"/>
    <x v="1867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x v="29"/>
    <b v="0"/>
    <x v="18"/>
    <x v="833"/>
    <n v="10005"/>
    <x v="6"/>
    <x v="18"/>
  </r>
  <r>
    <x v="1868"/>
    <x v="1868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x v="57"/>
    <b v="0"/>
    <x v="18"/>
    <x v="1428"/>
    <n v="13108.5"/>
    <x v="6"/>
    <x v="18"/>
  </r>
  <r>
    <x v="1869"/>
    <x v="1869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x v="78"/>
    <b v="0"/>
    <x v="18"/>
    <x v="109"/>
    <n v="5000"/>
    <x v="6"/>
    <x v="18"/>
  </r>
  <r>
    <x v="1870"/>
    <x v="1870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x v="202"/>
    <b v="0"/>
    <x v="18"/>
    <x v="1429"/>
    <n v="1930.5"/>
    <x v="6"/>
    <x v="18"/>
  </r>
  <r>
    <x v="1871"/>
    <x v="1871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x v="195"/>
    <b v="0"/>
    <x v="18"/>
    <x v="1430"/>
    <n v="5583"/>
    <x v="6"/>
    <x v="18"/>
  </r>
  <r>
    <x v="1872"/>
    <x v="1872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x v="62"/>
    <b v="0"/>
    <x v="18"/>
    <x v="550"/>
    <n v="10106"/>
    <x v="6"/>
    <x v="18"/>
  </r>
  <r>
    <x v="1873"/>
    <x v="1873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x v="84"/>
    <b v="0"/>
    <x v="18"/>
    <x v="871"/>
    <n v="4018"/>
    <x v="6"/>
    <x v="18"/>
  </r>
  <r>
    <x v="1874"/>
    <x v="1874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x v="84"/>
    <b v="0"/>
    <x v="18"/>
    <x v="1431"/>
    <n v="80013"/>
    <x v="6"/>
    <x v="18"/>
  </r>
  <r>
    <x v="1875"/>
    <x v="1875"/>
    <s v="Sea opposition of Crab's family and angry fishes. Who is going to win, and who is going to loose ?!"/>
    <n v="10000"/>
    <n v="51"/>
    <x v="2"/>
    <x v="0"/>
    <x v="0"/>
    <n v="1470519308"/>
    <n v="1465335308"/>
    <b v="0"/>
    <x v="83"/>
    <b v="0"/>
    <x v="18"/>
    <x v="872"/>
    <n v="5025.5"/>
    <x v="6"/>
    <x v="18"/>
  </r>
  <r>
    <x v="1876"/>
    <x v="1876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x v="78"/>
    <b v="0"/>
    <x v="18"/>
    <x v="109"/>
    <n v="140"/>
    <x v="6"/>
    <x v="18"/>
  </r>
  <r>
    <x v="1877"/>
    <x v="1877"/>
    <s v="It's obvious you won't survive by your wits alone. Unfortunately that's all you've got, Chip. Run!"/>
    <n v="60"/>
    <n v="0"/>
    <x v="2"/>
    <x v="0"/>
    <x v="0"/>
    <n v="1425170525"/>
    <n v="1422664925"/>
    <b v="0"/>
    <x v="78"/>
    <b v="0"/>
    <x v="18"/>
    <x v="109"/>
    <n v="30"/>
    <x v="6"/>
    <x v="18"/>
  </r>
  <r>
    <x v="1878"/>
    <x v="1878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x v="78"/>
    <b v="0"/>
    <x v="18"/>
    <x v="109"/>
    <n v="4000"/>
    <x v="6"/>
    <x v="18"/>
  </r>
  <r>
    <x v="1879"/>
    <x v="1879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x v="84"/>
    <b v="0"/>
    <x v="18"/>
    <x v="154"/>
    <n v="2503"/>
    <x v="6"/>
    <x v="18"/>
  </r>
  <r>
    <x v="1880"/>
    <x v="1880"/>
    <s v="Sim Betting Football is the only football (soccer) betting simulation  game."/>
    <n v="5000"/>
    <n v="1004"/>
    <x v="2"/>
    <x v="1"/>
    <x v="1"/>
    <n v="1459341380"/>
    <n v="1456839380"/>
    <b v="0"/>
    <x v="54"/>
    <b v="0"/>
    <x v="18"/>
    <x v="1432"/>
    <n v="3002"/>
    <x v="6"/>
    <x v="18"/>
  </r>
  <r>
    <x v="1881"/>
    <x v="1881"/>
    <s v="We're now raising money to produce a music video. Those who donate get a vote in deciding which song!"/>
    <n v="2000"/>
    <n v="3453.69"/>
    <x v="0"/>
    <x v="0"/>
    <x v="0"/>
    <n v="1425955189"/>
    <n v="1423366789"/>
    <b v="0"/>
    <x v="16"/>
    <b v="1"/>
    <x v="14"/>
    <x v="1433"/>
    <n v="2726.8450000000003"/>
    <x v="4"/>
    <x v="14"/>
  </r>
  <r>
    <x v="1882"/>
    <x v="1882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x v="75"/>
    <b v="1"/>
    <x v="14"/>
    <x v="1434"/>
    <n v="3365"/>
    <x v="4"/>
    <x v="14"/>
  </r>
  <r>
    <x v="1883"/>
    <x v="1883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x v="58"/>
    <b v="1"/>
    <x v="14"/>
    <x v="1435"/>
    <n v="1023"/>
    <x v="4"/>
    <x v="14"/>
  </r>
  <r>
    <x v="1884"/>
    <x v="1884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x v="55"/>
    <b v="1"/>
    <x v="14"/>
    <x v="1436"/>
    <n v="1175.5"/>
    <x v="4"/>
    <x v="14"/>
  </r>
  <r>
    <x v="1885"/>
    <x v="1885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x v="217"/>
    <b v="1"/>
    <x v="14"/>
    <x v="1437"/>
    <n v="4948.5"/>
    <x v="4"/>
    <x v="14"/>
  </r>
  <r>
    <x v="1886"/>
    <x v="1886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x v="60"/>
    <b v="1"/>
    <x v="14"/>
    <x v="1438"/>
    <n v="1212.5"/>
    <x v="4"/>
    <x v="14"/>
  </r>
  <r>
    <x v="1887"/>
    <x v="1887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x v="22"/>
    <b v="1"/>
    <x v="14"/>
    <x v="1439"/>
    <n v="3167.5"/>
    <x v="4"/>
    <x v="14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x v="30"/>
    <b v="1"/>
    <x v="14"/>
    <x v="1440"/>
    <n v="3326"/>
    <x v="4"/>
    <x v="14"/>
  </r>
  <r>
    <x v="1889"/>
    <x v="1889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x v="34"/>
    <b v="1"/>
    <x v="14"/>
    <x v="15"/>
    <n v="2066"/>
    <x v="4"/>
    <x v="14"/>
  </r>
  <r>
    <x v="1890"/>
    <x v="1890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x v="336"/>
    <b v="1"/>
    <x v="14"/>
    <x v="1441"/>
    <n v="14675.065000000001"/>
    <x v="4"/>
    <x v="14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x v="148"/>
    <b v="1"/>
    <x v="14"/>
    <x v="1442"/>
    <n v="10277.5"/>
    <x v="4"/>
    <x v="14"/>
  </r>
  <r>
    <x v="1892"/>
    <x v="1892"/>
    <s v="Nemes has just recorded a new album and is raising $500 to get it mixed and mastered professionally."/>
    <n v="500"/>
    <n v="683"/>
    <x v="0"/>
    <x v="0"/>
    <x v="0"/>
    <n v="1307459881"/>
    <n v="1304867881"/>
    <b v="0"/>
    <x v="55"/>
    <b v="1"/>
    <x v="14"/>
    <x v="1443"/>
    <n v="591.5"/>
    <x v="4"/>
    <x v="14"/>
  </r>
  <r>
    <x v="1893"/>
    <x v="1893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x v="43"/>
    <b v="1"/>
    <x v="14"/>
    <x v="87"/>
    <n v="2550"/>
    <x v="4"/>
    <x v="14"/>
  </r>
  <r>
    <x v="1894"/>
    <x v="1894"/>
    <s v="Im trying to raise $1000 for a 3 song EP in a studio!"/>
    <n v="1000"/>
    <n v="1145"/>
    <x v="0"/>
    <x v="0"/>
    <x v="0"/>
    <n v="1329082983"/>
    <n v="1326404583"/>
    <b v="0"/>
    <x v="9"/>
    <b v="1"/>
    <x v="14"/>
    <x v="1444"/>
    <n v="1072.5"/>
    <x v="4"/>
    <x v="14"/>
  </r>
  <r>
    <x v="1895"/>
    <x v="1895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x v="5"/>
    <b v="1"/>
    <x v="14"/>
    <x v="1445"/>
    <n v="9150"/>
    <x v="4"/>
    <x v="14"/>
  </r>
  <r>
    <x v="1896"/>
    <x v="1896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x v="62"/>
    <b v="1"/>
    <x v="14"/>
    <x v="1446"/>
    <n v="505"/>
    <x v="4"/>
    <x v="14"/>
  </r>
  <r>
    <x v="1897"/>
    <x v="1897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x v="275"/>
    <b v="1"/>
    <x v="14"/>
    <x v="1447"/>
    <n v="6428"/>
    <x v="4"/>
    <x v="14"/>
  </r>
  <r>
    <x v="1898"/>
    <x v="1898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x v="64"/>
    <b v="1"/>
    <x v="14"/>
    <x v="1448"/>
    <n v="1222.5"/>
    <x v="4"/>
    <x v="14"/>
  </r>
  <r>
    <x v="1899"/>
    <x v="1899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x v="288"/>
    <b v="1"/>
    <x v="14"/>
    <x v="25"/>
    <n v="1050"/>
    <x v="4"/>
    <x v="14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x v="241"/>
    <b v="1"/>
    <x v="14"/>
    <x v="1449"/>
    <n v="2617.0550000000003"/>
    <x v="4"/>
    <x v="14"/>
  </r>
  <r>
    <x v="1901"/>
    <x v="1901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x v="20"/>
    <b v="0"/>
    <x v="29"/>
    <x v="1450"/>
    <n v="50835"/>
    <x v="2"/>
    <x v="29"/>
  </r>
  <r>
    <x v="1902"/>
    <x v="1902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x v="83"/>
    <b v="0"/>
    <x v="29"/>
    <x v="444"/>
    <n v="506"/>
    <x v="2"/>
    <x v="29"/>
  </r>
  <r>
    <x v="1903"/>
    <x v="1903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x v="14"/>
    <b v="0"/>
    <x v="29"/>
    <x v="1451"/>
    <n v="2199"/>
    <x v="2"/>
    <x v="29"/>
  </r>
  <r>
    <x v="1904"/>
    <x v="1904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x v="84"/>
    <b v="0"/>
    <x v="29"/>
    <x v="370"/>
    <n v="25025"/>
    <x v="2"/>
    <x v="29"/>
  </r>
  <r>
    <x v="1905"/>
    <x v="1905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x v="80"/>
    <b v="0"/>
    <x v="29"/>
    <x v="1452"/>
    <n v="12521"/>
    <x v="2"/>
    <x v="29"/>
  </r>
  <r>
    <x v="1906"/>
    <x v="1906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x v="221"/>
    <b v="0"/>
    <x v="29"/>
    <x v="1453"/>
    <n v="35690"/>
    <x v="2"/>
    <x v="29"/>
  </r>
  <r>
    <x v="1907"/>
    <x v="1907"/>
    <s v="Litter-Buddy is great economical alternative to leading pet waste disposal systems with cartridge bag elements."/>
    <n v="30000"/>
    <n v="85"/>
    <x v="2"/>
    <x v="0"/>
    <x v="0"/>
    <n v="1400853925"/>
    <n v="1399557925"/>
    <b v="0"/>
    <x v="80"/>
    <b v="0"/>
    <x v="29"/>
    <x v="1454"/>
    <n v="15042.5"/>
    <x v="2"/>
    <x v="29"/>
  </r>
  <r>
    <x v="1908"/>
    <x v="1908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x v="80"/>
    <b v="0"/>
    <x v="29"/>
    <x v="1455"/>
    <n v="12716.5"/>
    <x v="2"/>
    <x v="29"/>
  </r>
  <r>
    <x v="1909"/>
    <x v="1909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x v="44"/>
    <b v="0"/>
    <x v="29"/>
    <x v="1456"/>
    <n v="19969.5"/>
    <x v="2"/>
    <x v="29"/>
  </r>
  <r>
    <x v="1910"/>
    <x v="1910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x v="168"/>
    <b v="0"/>
    <x v="29"/>
    <x v="1457"/>
    <n v="59243"/>
    <x v="2"/>
    <x v="29"/>
  </r>
  <r>
    <x v="1911"/>
    <x v="1911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x v="29"/>
    <b v="0"/>
    <x v="29"/>
    <x v="1458"/>
    <n v="21255"/>
    <x v="2"/>
    <x v="29"/>
  </r>
  <r>
    <x v="1912"/>
    <x v="1912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x v="288"/>
    <b v="0"/>
    <x v="29"/>
    <x v="1459"/>
    <n v="3982.5"/>
    <x v="2"/>
    <x v="29"/>
  </r>
  <r>
    <x v="1913"/>
    <x v="1913"/>
    <s v="Tibio is a revolutionary new product designed to solve an age old problem."/>
    <n v="48000"/>
    <n v="637"/>
    <x v="2"/>
    <x v="1"/>
    <x v="1"/>
    <n v="1412770578"/>
    <n v="1410178578"/>
    <b v="0"/>
    <x v="55"/>
    <b v="0"/>
    <x v="29"/>
    <x v="1460"/>
    <n v="24318.5"/>
    <x v="2"/>
    <x v="29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x v="84"/>
    <b v="0"/>
    <x v="29"/>
    <x v="1461"/>
    <n v="363"/>
    <x v="2"/>
    <x v="29"/>
  </r>
  <r>
    <x v="1915"/>
    <x v="1915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x v="80"/>
    <b v="0"/>
    <x v="29"/>
    <x v="1462"/>
    <n v="254"/>
    <x v="2"/>
    <x v="29"/>
  </r>
  <r>
    <x v="1916"/>
    <x v="1916"/>
    <s v="The Paint Can Holder Makes Painting Easier and Safer on Extension Ladders."/>
    <n v="20000"/>
    <n v="102"/>
    <x v="2"/>
    <x v="0"/>
    <x v="0"/>
    <n v="1478542375"/>
    <n v="1476378775"/>
    <b v="0"/>
    <x v="79"/>
    <b v="0"/>
    <x v="29"/>
    <x v="872"/>
    <n v="10051"/>
    <x v="2"/>
    <x v="29"/>
  </r>
  <r>
    <x v="1917"/>
    <x v="1917"/>
    <s v="Let's build a legendary brand altogether"/>
    <n v="390000"/>
    <n v="205025"/>
    <x v="2"/>
    <x v="7"/>
    <x v="6"/>
    <n v="1486708133"/>
    <n v="1484116133"/>
    <b v="0"/>
    <x v="16"/>
    <b v="0"/>
    <x v="29"/>
    <x v="1463"/>
    <n v="297512.5"/>
    <x v="2"/>
    <x v="29"/>
  </r>
  <r>
    <x v="1918"/>
    <x v="1918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x v="82"/>
    <b v="0"/>
    <x v="29"/>
    <x v="1464"/>
    <n v="12630"/>
    <x v="2"/>
    <x v="29"/>
  </r>
  <r>
    <x v="1919"/>
    <x v="1919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x v="22"/>
    <b v="0"/>
    <x v="29"/>
    <x v="1465"/>
    <n v="368.5"/>
    <x v="2"/>
    <x v="29"/>
  </r>
  <r>
    <x v="1920"/>
    <x v="1920"/>
    <s v="A new concept in bike light safety, protecting cyclists from being hit in the side. Bright, amber sideways."/>
    <n v="10000"/>
    <n v="4303"/>
    <x v="2"/>
    <x v="1"/>
    <x v="1"/>
    <n v="1445468400"/>
    <n v="1443042061"/>
    <b v="0"/>
    <x v="217"/>
    <b v="0"/>
    <x v="29"/>
    <x v="1466"/>
    <n v="7151.5"/>
    <x v="2"/>
    <x v="29"/>
  </r>
  <r>
    <x v="1921"/>
    <x v="1921"/>
    <s v="The Fine Spirits are making an album, but we need your help!"/>
    <n v="1500"/>
    <n v="2052"/>
    <x v="0"/>
    <x v="0"/>
    <x v="0"/>
    <n v="1342243143"/>
    <n v="1339651143"/>
    <b v="0"/>
    <x v="44"/>
    <b v="1"/>
    <x v="14"/>
    <x v="346"/>
    <n v="1776"/>
    <x v="4"/>
    <x v="14"/>
  </r>
  <r>
    <x v="1922"/>
    <x v="1922"/>
    <s v="Low Weather's debut album is halfway finished.  With your help and your help alone we can record the rest!"/>
    <n v="2000"/>
    <n v="2311"/>
    <x v="0"/>
    <x v="0"/>
    <x v="0"/>
    <n v="1386828507"/>
    <n v="1384236507"/>
    <b v="0"/>
    <x v="31"/>
    <b v="1"/>
    <x v="14"/>
    <x v="1467"/>
    <n v="2155.5"/>
    <x v="4"/>
    <x v="14"/>
  </r>
  <r>
    <x v="1923"/>
    <x v="1923"/>
    <s v="We just finished recording our first album! All we need is a little extra help to be able to get it printed!"/>
    <n v="125"/>
    <n v="301"/>
    <x v="0"/>
    <x v="0"/>
    <x v="0"/>
    <n v="1317099540"/>
    <n v="1313612532"/>
    <b v="0"/>
    <x v="62"/>
    <b v="1"/>
    <x v="14"/>
    <x v="1468"/>
    <n v="213"/>
    <x v="4"/>
    <x v="14"/>
  </r>
  <r>
    <x v="1924"/>
    <x v="1924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x v="51"/>
    <b v="1"/>
    <x v="14"/>
    <x v="316"/>
    <n v="3216"/>
    <x v="4"/>
    <x v="14"/>
  </r>
  <r>
    <x v="1925"/>
    <x v="1925"/>
    <s v="The Freakniks are making their psychedelic freak-folk debut studio album and they need your help."/>
    <n v="1500"/>
    <n v="1655"/>
    <x v="0"/>
    <x v="0"/>
    <x v="0"/>
    <n v="1381449600"/>
    <n v="1379540288"/>
    <b v="0"/>
    <x v="47"/>
    <b v="1"/>
    <x v="14"/>
    <x v="1469"/>
    <n v="1577.5"/>
    <x v="4"/>
    <x v="14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x v="329"/>
    <b v="1"/>
    <x v="14"/>
    <x v="1470"/>
    <n v="2215.3450000000003"/>
    <x v="4"/>
    <x v="14"/>
  </r>
  <r>
    <x v="1927"/>
    <x v="1927"/>
    <s v="Hampshire is headed to GBS Detroit."/>
    <n v="600"/>
    <n v="620"/>
    <x v="0"/>
    <x v="0"/>
    <x v="0"/>
    <n v="1331182740"/>
    <n v="1329856839"/>
    <b v="0"/>
    <x v="202"/>
    <b v="1"/>
    <x v="14"/>
    <x v="101"/>
    <n v="610"/>
    <x v="4"/>
    <x v="14"/>
  </r>
  <r>
    <x v="1928"/>
    <x v="1928"/>
    <s v="Help us master and release our debut album &quot;The Kaleidoscope Dawn&quot;"/>
    <n v="2550"/>
    <n v="2630"/>
    <x v="0"/>
    <x v="0"/>
    <x v="0"/>
    <n v="1367940794"/>
    <n v="1365348794"/>
    <b v="0"/>
    <x v="69"/>
    <b v="1"/>
    <x v="14"/>
    <x v="1471"/>
    <n v="2590"/>
    <x v="4"/>
    <x v="14"/>
  </r>
  <r>
    <x v="1929"/>
    <x v="1929"/>
    <s v="Trying to raise funds to release a full-length album on LP and CD by my post-punk studio project, Surplus 1980."/>
    <n v="3200"/>
    <n v="3210"/>
    <x v="0"/>
    <x v="0"/>
    <x v="0"/>
    <n v="1309825866"/>
    <n v="1306197066"/>
    <b v="0"/>
    <x v="11"/>
    <b v="1"/>
    <x v="14"/>
    <x v="1472"/>
    <n v="3205"/>
    <x v="4"/>
    <x v="14"/>
  </r>
  <r>
    <x v="1930"/>
    <x v="1930"/>
    <s v="We're nearly done recording, but we're out of money! Help us release the record!!!"/>
    <n v="1000"/>
    <n v="1270"/>
    <x v="0"/>
    <x v="0"/>
    <x v="0"/>
    <n v="1373203482"/>
    <n v="1368019482"/>
    <b v="0"/>
    <x v="55"/>
    <b v="1"/>
    <x v="14"/>
    <x v="74"/>
    <n v="1135"/>
    <x v="4"/>
    <x v="14"/>
  </r>
  <r>
    <x v="1931"/>
    <x v="1931"/>
    <s v="We're an indie rock band from Clearwater, FL headed back into the studio to finish our latest EP."/>
    <n v="2000"/>
    <n v="2412.02"/>
    <x v="0"/>
    <x v="0"/>
    <x v="0"/>
    <n v="1337657400"/>
    <n v="1336512309"/>
    <b v="0"/>
    <x v="133"/>
    <b v="1"/>
    <x v="14"/>
    <x v="1473"/>
    <n v="2206.0100000000002"/>
    <x v="4"/>
    <x v="14"/>
  </r>
  <r>
    <x v="1932"/>
    <x v="1932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x v="144"/>
    <b v="1"/>
    <x v="14"/>
    <x v="1474"/>
    <n v="5433.5"/>
    <x v="4"/>
    <x v="14"/>
  </r>
  <r>
    <x v="1933"/>
    <x v="1933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x v="238"/>
    <b v="1"/>
    <x v="14"/>
    <x v="1475"/>
    <n v="8173"/>
    <x v="4"/>
    <x v="14"/>
  </r>
  <r>
    <x v="1934"/>
    <x v="1934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x v="99"/>
    <b v="1"/>
    <x v="14"/>
    <x v="1476"/>
    <n v="5590.5"/>
    <x v="4"/>
    <x v="14"/>
  </r>
  <r>
    <x v="1935"/>
    <x v="1935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x v="133"/>
    <b v="1"/>
    <x v="14"/>
    <x v="1477"/>
    <n v="2605"/>
    <x v="4"/>
    <x v="14"/>
  </r>
  <r>
    <x v="1936"/>
    <x v="1936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x v="108"/>
    <b v="1"/>
    <x v="14"/>
    <x v="1478"/>
    <n v="8119.5050000000001"/>
    <x v="4"/>
    <x v="14"/>
  </r>
  <r>
    <x v="1937"/>
    <x v="1937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x v="60"/>
    <b v="1"/>
    <x v="14"/>
    <x v="1479"/>
    <n v="861.73500000000001"/>
    <x v="4"/>
    <x v="14"/>
  </r>
  <r>
    <x v="1938"/>
    <x v="1938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x v="229"/>
    <b v="1"/>
    <x v="14"/>
    <x v="1480"/>
    <n v="16195"/>
    <x v="4"/>
    <x v="14"/>
  </r>
  <r>
    <x v="1939"/>
    <x v="1939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x v="93"/>
    <b v="1"/>
    <x v="14"/>
    <x v="1076"/>
    <n v="10535"/>
    <x v="4"/>
    <x v="14"/>
  </r>
  <r>
    <x v="1940"/>
    <x v="1940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x v="162"/>
    <b v="1"/>
    <x v="14"/>
    <x v="1481"/>
    <n v="880.5"/>
    <x v="4"/>
    <x v="14"/>
  </r>
  <r>
    <x v="1941"/>
    <x v="1941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x v="337"/>
    <b v="1"/>
    <x v="30"/>
    <x v="1482"/>
    <n v="282647.94500000001"/>
    <x v="2"/>
    <x v="30"/>
  </r>
  <r>
    <x v="1942"/>
    <x v="1942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x v="195"/>
    <b v="1"/>
    <x v="30"/>
    <x v="1483"/>
    <n v="7153.21"/>
    <x v="2"/>
    <x v="30"/>
  </r>
  <r>
    <x v="1943"/>
    <x v="1943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x v="338"/>
    <b v="1"/>
    <x v="30"/>
    <x v="1484"/>
    <n v="90262.5"/>
    <x v="2"/>
    <x v="30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x v="339"/>
    <b v="1"/>
    <x v="30"/>
    <x v="1485"/>
    <n v="177611.1"/>
    <x v="2"/>
    <x v="30"/>
  </r>
  <r>
    <x v="1945"/>
    <x v="1945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x v="340"/>
    <b v="1"/>
    <x v="30"/>
    <x v="1486"/>
    <n v="224009"/>
    <x v="2"/>
    <x v="30"/>
  </r>
  <r>
    <x v="1946"/>
    <x v="1946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x v="16"/>
    <b v="1"/>
    <x v="30"/>
    <x v="1487"/>
    <n v="9365.5"/>
    <x v="2"/>
    <x v="3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x v="23"/>
    <b v="1"/>
    <x v="30"/>
    <x v="1488"/>
    <n v="802.53500000000008"/>
    <x v="2"/>
    <x v="30"/>
  </r>
  <r>
    <x v="1948"/>
    <x v="1948"/>
    <s v="10 times more powerful than Raspberry Pi 3, x86 64-bit architecture"/>
    <n v="100000"/>
    <n v="800211"/>
    <x v="0"/>
    <x v="0"/>
    <x v="0"/>
    <n v="1465232520"/>
    <n v="1460557809"/>
    <b v="1"/>
    <x v="341"/>
    <b v="1"/>
    <x v="30"/>
    <x v="1489"/>
    <n v="450105.5"/>
    <x v="2"/>
    <x v="30"/>
  </r>
  <r>
    <x v="1949"/>
    <x v="1949"/>
    <s v="#ShakeYourPower brings clean energy to places in the world without electricity through the power of music."/>
    <n v="50000"/>
    <n v="53001.3"/>
    <x v="0"/>
    <x v="1"/>
    <x v="1"/>
    <n v="1404986951"/>
    <n v="1402394951"/>
    <b v="1"/>
    <x v="342"/>
    <b v="1"/>
    <x v="30"/>
    <x v="1490"/>
    <n v="51500.65"/>
    <x v="2"/>
    <x v="30"/>
  </r>
  <r>
    <x v="1950"/>
    <x v="1950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x v="343"/>
    <b v="1"/>
    <x v="30"/>
    <x v="1491"/>
    <n v="72124.48000000001"/>
    <x v="2"/>
    <x v="30"/>
  </r>
  <r>
    <x v="1951"/>
    <x v="1951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x v="344"/>
    <b v="1"/>
    <x v="30"/>
    <x v="1492"/>
    <n v="78111"/>
    <x v="2"/>
    <x v="30"/>
  </r>
  <r>
    <x v="1952"/>
    <x v="1952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x v="345"/>
    <b v="1"/>
    <x v="30"/>
    <x v="1493"/>
    <n v="52232.665000000001"/>
    <x v="2"/>
    <x v="30"/>
  </r>
  <r>
    <x v="1953"/>
    <x v="1953"/>
    <s v="The NTH is an open source music synthesizer featuring instant fun, awesome sound, and a hackable design."/>
    <n v="15000"/>
    <n v="33892"/>
    <x v="0"/>
    <x v="0"/>
    <x v="0"/>
    <n v="1330657200"/>
    <n v="1328158065"/>
    <b v="1"/>
    <x v="206"/>
    <b v="1"/>
    <x v="30"/>
    <x v="1494"/>
    <n v="24446"/>
    <x v="2"/>
    <x v="30"/>
  </r>
  <r>
    <x v="1954"/>
    <x v="1954"/>
    <s v="The First Home Battery System You Simply Plug in to Install"/>
    <n v="50000"/>
    <n v="349474"/>
    <x v="0"/>
    <x v="0"/>
    <x v="0"/>
    <n v="1457758800"/>
    <n v="1453730176"/>
    <b v="1"/>
    <x v="119"/>
    <b v="1"/>
    <x v="30"/>
    <x v="1495"/>
    <n v="199737"/>
    <x v="2"/>
    <x v="3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x v="126"/>
    <b v="1"/>
    <x v="30"/>
    <x v="1496"/>
    <n v="104705.01"/>
    <x v="2"/>
    <x v="30"/>
  </r>
  <r>
    <x v="1956"/>
    <x v="1956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x v="346"/>
    <b v="1"/>
    <x v="30"/>
    <x v="1497"/>
    <n v="118210"/>
    <x v="2"/>
    <x v="30"/>
  </r>
  <r>
    <x v="1957"/>
    <x v="1957"/>
    <s v="An open hardware platform for the best microcontroller in the world."/>
    <n v="30000"/>
    <n v="50251.41"/>
    <x v="0"/>
    <x v="0"/>
    <x v="0"/>
    <n v="1351304513"/>
    <n v="1348712513"/>
    <b v="1"/>
    <x v="347"/>
    <b v="1"/>
    <x v="30"/>
    <x v="1498"/>
    <n v="40125.705000000002"/>
    <x v="2"/>
    <x v="30"/>
  </r>
  <r>
    <x v="1958"/>
    <x v="1958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x v="348"/>
    <b v="1"/>
    <x v="30"/>
    <x v="1499"/>
    <n v="53745.01"/>
    <x v="2"/>
    <x v="30"/>
  </r>
  <r>
    <x v="1959"/>
    <x v="1959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x v="349"/>
    <b v="1"/>
    <x v="30"/>
    <x v="1500"/>
    <n v="12836.720000000001"/>
    <x v="2"/>
    <x v="30"/>
  </r>
  <r>
    <x v="1960"/>
    <x v="1960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x v="51"/>
    <b v="1"/>
    <x v="30"/>
    <x v="1501"/>
    <n v="76266"/>
    <x v="2"/>
    <x v="30"/>
  </r>
  <r>
    <x v="1961"/>
    <x v="1961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x v="350"/>
    <b v="1"/>
    <x v="30"/>
    <x v="1502"/>
    <n v="60269.06"/>
    <x v="2"/>
    <x v="3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x v="351"/>
    <b v="1"/>
    <x v="30"/>
    <x v="1503"/>
    <n v="14646.25"/>
    <x v="2"/>
    <x v="30"/>
  </r>
  <r>
    <x v="1963"/>
    <x v="1963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x v="242"/>
    <b v="1"/>
    <x v="30"/>
    <x v="1504"/>
    <n v="21554"/>
    <x v="2"/>
    <x v="30"/>
  </r>
  <r>
    <x v="1964"/>
    <x v="1964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x v="352"/>
    <b v="1"/>
    <x v="30"/>
    <x v="1505"/>
    <n v="160371.56"/>
    <x v="2"/>
    <x v="30"/>
  </r>
  <r>
    <x v="1965"/>
    <x v="1965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x v="273"/>
    <b v="1"/>
    <x v="30"/>
    <x v="1506"/>
    <n v="9057"/>
    <x v="2"/>
    <x v="30"/>
  </r>
  <r>
    <x v="1966"/>
    <x v="1966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x v="353"/>
    <b v="1"/>
    <x v="30"/>
    <x v="1507"/>
    <n v="153371.54499999998"/>
    <x v="2"/>
    <x v="30"/>
  </r>
  <r>
    <x v="1967"/>
    <x v="1967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x v="316"/>
    <b v="1"/>
    <x v="30"/>
    <x v="1508"/>
    <n v="47013"/>
    <x v="2"/>
    <x v="30"/>
  </r>
  <r>
    <x v="1968"/>
    <x v="1968"/>
    <s v="Bringing the advantages of wireless smart shifting to every cyclist. FITS ANY BIKE"/>
    <n v="50000"/>
    <n v="142483"/>
    <x v="0"/>
    <x v="0"/>
    <x v="0"/>
    <n v="1480777515"/>
    <n v="1478095515"/>
    <b v="1"/>
    <x v="354"/>
    <b v="1"/>
    <x v="30"/>
    <x v="1509"/>
    <n v="96241.5"/>
    <x v="2"/>
    <x v="30"/>
  </r>
  <r>
    <x v="1969"/>
    <x v="1969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x v="355"/>
    <b v="1"/>
    <x v="30"/>
    <x v="1510"/>
    <n v="67908"/>
    <x v="2"/>
    <x v="30"/>
  </r>
  <r>
    <x v="1970"/>
    <x v="1970"/>
    <s v="The APOC is a gamma particle detector that will help you learn about radiation and find radioactive things!"/>
    <n v="5000"/>
    <n v="56590"/>
    <x v="0"/>
    <x v="0"/>
    <x v="0"/>
    <n v="1366429101"/>
    <n v="1361248701"/>
    <b v="1"/>
    <x v="356"/>
    <b v="1"/>
    <x v="30"/>
    <x v="1511"/>
    <n v="30795"/>
    <x v="2"/>
    <x v="30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x v="357"/>
    <b v="1"/>
    <x v="30"/>
    <x v="1512"/>
    <n v="726055.43500000006"/>
    <x v="2"/>
    <x v="30"/>
  </r>
  <r>
    <x v="1972"/>
    <x v="1972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x v="146"/>
    <b v="1"/>
    <x v="30"/>
    <x v="1513"/>
    <n v="9681"/>
    <x v="2"/>
    <x v="30"/>
  </r>
  <r>
    <x v="1973"/>
    <x v="1973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x v="358"/>
    <b v="1"/>
    <x v="30"/>
    <x v="1514"/>
    <n v="353262.505"/>
    <x v="2"/>
    <x v="3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x v="359"/>
    <b v="1"/>
    <x v="30"/>
    <x v="1515"/>
    <n v="47549.599999999999"/>
    <x v="2"/>
    <x v="30"/>
  </r>
  <r>
    <x v="1975"/>
    <x v="1975"/>
    <s v="The Bugle2 is a second generation DIY kit phono preamplifier for vinyl playback."/>
    <n v="16000"/>
    <n v="33393.339999999997"/>
    <x v="0"/>
    <x v="0"/>
    <x v="0"/>
    <n v="1362938851"/>
    <n v="1360346851"/>
    <b v="1"/>
    <x v="35"/>
    <b v="1"/>
    <x v="30"/>
    <x v="1516"/>
    <n v="24696.67"/>
    <x v="2"/>
    <x v="30"/>
  </r>
  <r>
    <x v="1976"/>
    <x v="1976"/>
    <s v="Can you help us make an ultra bright white one a reality?"/>
    <n v="4000"/>
    <n v="13864"/>
    <x v="0"/>
    <x v="1"/>
    <x v="1"/>
    <n v="1373751325"/>
    <n v="1371159325"/>
    <b v="1"/>
    <x v="360"/>
    <b v="1"/>
    <x v="30"/>
    <x v="1517"/>
    <n v="8932"/>
    <x v="2"/>
    <x v="30"/>
  </r>
  <r>
    <x v="1977"/>
    <x v="1977"/>
    <s v="Ario learns about you, syncs your body clock, and keeps you healthy through natural lighting patterns."/>
    <n v="50000"/>
    <n v="201165"/>
    <x v="0"/>
    <x v="0"/>
    <x v="0"/>
    <n v="1450511940"/>
    <n v="1446527540"/>
    <b v="1"/>
    <x v="361"/>
    <b v="1"/>
    <x v="30"/>
    <x v="1518"/>
    <n v="125582.5"/>
    <x v="2"/>
    <x v="3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x v="362"/>
    <b v="1"/>
    <x v="30"/>
    <x v="1519"/>
    <n v="281711.28500000003"/>
    <x v="2"/>
    <x v="30"/>
  </r>
  <r>
    <x v="1979"/>
    <x v="1979"/>
    <s v="Truly wireless premium earbuds with a battery-boosting smartphone case for charging and storage"/>
    <n v="200000"/>
    <n v="229802.31"/>
    <x v="0"/>
    <x v="0"/>
    <x v="0"/>
    <n v="1447909140"/>
    <n v="1444734146"/>
    <b v="1"/>
    <x v="363"/>
    <b v="1"/>
    <x v="30"/>
    <x v="1520"/>
    <n v="214901.155"/>
    <x v="2"/>
    <x v="30"/>
  </r>
  <r>
    <x v="1980"/>
    <x v="1980"/>
    <s v="Multi-power charging that is smarter, stylish and designed for you."/>
    <n v="50000"/>
    <n v="177412.01"/>
    <x v="0"/>
    <x v="12"/>
    <x v="3"/>
    <n v="1459684862"/>
    <n v="1456232462"/>
    <b v="1"/>
    <x v="364"/>
    <b v="1"/>
    <x v="30"/>
    <x v="1521"/>
    <n v="113706.005"/>
    <x v="2"/>
    <x v="30"/>
  </r>
  <r>
    <x v="1981"/>
    <x v="1981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x v="8"/>
    <b v="0"/>
    <x v="31"/>
    <x v="1522"/>
    <n v="3940.5"/>
    <x v="8"/>
    <x v="31"/>
  </r>
  <r>
    <x v="1982"/>
    <x v="1982"/>
    <s v="Express a very dark place in my childhood. Release my emotions through photography in a form of Art."/>
    <n v="180000"/>
    <n v="0"/>
    <x v="2"/>
    <x v="7"/>
    <x v="6"/>
    <n v="1480863887"/>
    <n v="1478268287"/>
    <b v="0"/>
    <x v="78"/>
    <b v="0"/>
    <x v="31"/>
    <x v="109"/>
    <n v="90000"/>
    <x v="8"/>
    <x v="31"/>
  </r>
  <r>
    <x v="1983"/>
    <x v="1983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x v="38"/>
    <b v="0"/>
    <x v="31"/>
    <x v="1523"/>
    <n v="17209.5"/>
    <x v="8"/>
    <x v="31"/>
  </r>
  <r>
    <x v="1984"/>
    <x v="1984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x v="63"/>
    <b v="0"/>
    <x v="31"/>
    <x v="1524"/>
    <n v="9086"/>
    <x v="8"/>
    <x v="31"/>
  </r>
  <r>
    <x v="1985"/>
    <x v="1985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x v="80"/>
    <b v="0"/>
    <x v="31"/>
    <x v="1525"/>
    <n v="825.5"/>
    <x v="8"/>
    <x v="31"/>
  </r>
  <r>
    <x v="1986"/>
    <x v="1986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x v="29"/>
    <b v="0"/>
    <x v="31"/>
    <x v="833"/>
    <n v="1000.5"/>
    <x v="8"/>
    <x v="31"/>
  </r>
  <r>
    <x v="1987"/>
    <x v="1987"/>
    <s v="A collection of images that depicts the beauty and diversity within Ethiopia"/>
    <n v="5500"/>
    <n v="2336"/>
    <x v="2"/>
    <x v="1"/>
    <x v="1"/>
    <n v="1425223276"/>
    <n v="1422631276"/>
    <b v="0"/>
    <x v="33"/>
    <b v="0"/>
    <x v="31"/>
    <x v="1526"/>
    <n v="3918"/>
    <x v="8"/>
    <x v="31"/>
  </r>
  <r>
    <x v="1988"/>
    <x v="1988"/>
    <s v="Expressing art in an image!"/>
    <n v="6000"/>
    <n v="25"/>
    <x v="2"/>
    <x v="0"/>
    <x v="0"/>
    <n v="1440094742"/>
    <n v="1437502742"/>
    <b v="0"/>
    <x v="29"/>
    <b v="0"/>
    <x v="31"/>
    <x v="151"/>
    <n v="3012.5"/>
    <x v="8"/>
    <x v="31"/>
  </r>
  <r>
    <x v="1989"/>
    <x v="1989"/>
    <s v="Creating an awareness for infertility through photographing families and showcasing the real faces of infertility."/>
    <n v="5000"/>
    <n v="50"/>
    <x v="2"/>
    <x v="0"/>
    <x v="0"/>
    <n v="1481473208"/>
    <n v="1478881208"/>
    <b v="0"/>
    <x v="29"/>
    <b v="0"/>
    <x v="31"/>
    <x v="460"/>
    <n v="2525"/>
    <x v="8"/>
    <x v="31"/>
  </r>
  <r>
    <x v="1990"/>
    <x v="1990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x v="81"/>
    <b v="0"/>
    <x v="31"/>
    <x v="1527"/>
    <n v="1754.5"/>
    <x v="8"/>
    <x v="31"/>
  </r>
  <r>
    <x v="1991"/>
    <x v="1991"/>
    <s v="Taking (and giving) professional portraits of survivors of human trafficking in Myanmar."/>
    <n v="2000"/>
    <n v="140"/>
    <x v="2"/>
    <x v="0"/>
    <x v="0"/>
    <n v="1435958786"/>
    <n v="1434144386"/>
    <b v="0"/>
    <x v="83"/>
    <b v="0"/>
    <x v="31"/>
    <x v="1528"/>
    <n v="1070"/>
    <x v="8"/>
    <x v="31"/>
  </r>
  <r>
    <x v="1992"/>
    <x v="1992"/>
    <s v="A complete revamp of all the Disney Princes &amp; Princesses!"/>
    <n v="1500"/>
    <n v="2"/>
    <x v="2"/>
    <x v="0"/>
    <x v="0"/>
    <n v="1424229991"/>
    <n v="1421637991"/>
    <b v="0"/>
    <x v="84"/>
    <b v="0"/>
    <x v="31"/>
    <x v="1529"/>
    <n v="751"/>
    <x v="8"/>
    <x v="31"/>
  </r>
  <r>
    <x v="1993"/>
    <x v="1993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x v="78"/>
    <b v="0"/>
    <x v="31"/>
    <x v="109"/>
    <n v="1000"/>
    <x v="8"/>
    <x v="31"/>
  </r>
  <r>
    <x v="1994"/>
    <x v="1994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x v="78"/>
    <b v="0"/>
    <x v="31"/>
    <x v="109"/>
    <n v="1600"/>
    <x v="8"/>
    <x v="31"/>
  </r>
  <r>
    <x v="1995"/>
    <x v="1995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x v="83"/>
    <b v="0"/>
    <x v="31"/>
    <x v="1530"/>
    <n v="539"/>
    <x v="8"/>
    <x v="31"/>
  </r>
  <r>
    <x v="1996"/>
    <x v="1996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x v="78"/>
    <b v="0"/>
    <x v="31"/>
    <x v="109"/>
    <n v="66900"/>
    <x v="8"/>
    <x v="31"/>
  </r>
  <r>
    <x v="1997"/>
    <x v="1997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x v="78"/>
    <b v="0"/>
    <x v="31"/>
    <x v="109"/>
    <n v="3250"/>
    <x v="8"/>
    <x v="31"/>
  </r>
  <r>
    <x v="1998"/>
    <x v="1998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x v="83"/>
    <b v="0"/>
    <x v="31"/>
    <x v="1531"/>
    <n v="1577.5"/>
    <x v="8"/>
    <x v="31"/>
  </r>
  <r>
    <x v="1999"/>
    <x v="1999"/>
    <s v="This is a portrait photo project aiming to inspire women to explore themselves and live their passion"/>
    <n v="31000"/>
    <n v="236"/>
    <x v="2"/>
    <x v="1"/>
    <x v="1"/>
    <n v="1415882108"/>
    <n v="1413286508"/>
    <b v="0"/>
    <x v="63"/>
    <b v="0"/>
    <x v="31"/>
    <x v="1532"/>
    <n v="15618"/>
    <x v="8"/>
    <x v="31"/>
  </r>
  <r>
    <x v="2000"/>
    <x v="2000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x v="20"/>
    <b v="0"/>
    <x v="31"/>
    <x v="856"/>
    <n v="2812.5"/>
    <x v="8"/>
    <x v="31"/>
  </r>
  <r>
    <x v="2001"/>
    <x v="2001"/>
    <s v="Nuimo is a universal controller for the internet of things. Control your music, lights, locks and more."/>
    <n v="55000"/>
    <n v="210171"/>
    <x v="0"/>
    <x v="12"/>
    <x v="3"/>
    <n v="1434139200"/>
    <n v="1431406916"/>
    <b v="1"/>
    <x v="365"/>
    <b v="1"/>
    <x v="30"/>
    <x v="1533"/>
    <n v="132585.5"/>
    <x v="2"/>
    <x v="30"/>
  </r>
  <r>
    <x v="2002"/>
    <x v="2002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x v="366"/>
    <b v="1"/>
    <x v="30"/>
    <x v="1534"/>
    <n v="79198.554999999993"/>
    <x v="2"/>
    <x v="30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x v="57"/>
    <b v="1"/>
    <x v="30"/>
    <x v="1535"/>
    <n v="1030"/>
    <x v="2"/>
    <x v="30"/>
  </r>
  <r>
    <x v="2004"/>
    <x v="2004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x v="178"/>
    <b v="1"/>
    <x v="30"/>
    <x v="1536"/>
    <n v="83605.119999999995"/>
    <x v="2"/>
    <x v="30"/>
  </r>
  <r>
    <x v="2005"/>
    <x v="2005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x v="277"/>
    <b v="1"/>
    <x v="30"/>
    <x v="1537"/>
    <n v="33552.014999999999"/>
    <x v="2"/>
    <x v="3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x v="175"/>
    <b v="1"/>
    <x v="30"/>
    <x v="1538"/>
    <n v="86960"/>
    <x v="2"/>
    <x v="3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x v="89"/>
    <b v="1"/>
    <x v="30"/>
    <x v="1539"/>
    <n v="10785.46"/>
    <x v="2"/>
    <x v="30"/>
  </r>
  <r>
    <x v="2008"/>
    <x v="2008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x v="14"/>
    <b v="1"/>
    <x v="30"/>
    <x v="1540"/>
    <n v="1704.895"/>
    <x v="2"/>
    <x v="30"/>
  </r>
  <r>
    <x v="2009"/>
    <x v="2009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x v="367"/>
    <b v="1"/>
    <x v="30"/>
    <x v="1541"/>
    <n v="101289.5"/>
    <x v="2"/>
    <x v="30"/>
  </r>
  <r>
    <x v="2010"/>
    <x v="2010"/>
    <s v="Weighitz are miniature smart scales designed to weigh anything in the home."/>
    <n v="30000"/>
    <n v="96015.9"/>
    <x v="0"/>
    <x v="0"/>
    <x v="0"/>
    <n v="1471564491"/>
    <n v="1468972491"/>
    <b v="1"/>
    <x v="368"/>
    <b v="1"/>
    <x v="30"/>
    <x v="1542"/>
    <n v="63007.95"/>
    <x v="2"/>
    <x v="30"/>
  </r>
  <r>
    <x v="2011"/>
    <x v="2011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x v="369"/>
    <b v="1"/>
    <x v="30"/>
    <x v="1543"/>
    <n v="229891"/>
    <x v="2"/>
    <x v="30"/>
  </r>
  <r>
    <x v="2012"/>
    <x v="2012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x v="275"/>
    <b v="1"/>
    <x v="30"/>
    <x v="1544"/>
    <n v="8372.5"/>
    <x v="2"/>
    <x v="30"/>
  </r>
  <r>
    <x v="2013"/>
    <x v="2013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x v="370"/>
    <b v="1"/>
    <x v="30"/>
    <x v="1545"/>
    <n v="475931"/>
    <x v="2"/>
    <x v="30"/>
  </r>
  <r>
    <x v="2014"/>
    <x v="2014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x v="371"/>
    <b v="1"/>
    <x v="30"/>
    <x v="1546"/>
    <n v="1187067.335"/>
    <x v="2"/>
    <x v="30"/>
  </r>
  <r>
    <x v="2015"/>
    <x v="2015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x v="372"/>
    <b v="1"/>
    <x v="30"/>
    <x v="1547"/>
    <n v="7668.0050000000001"/>
    <x v="2"/>
    <x v="30"/>
  </r>
  <r>
    <x v="2016"/>
    <x v="2016"/>
    <s v="A smart, compact power supply designed to power anything, anywhere"/>
    <n v="10000"/>
    <n v="92154.22"/>
    <x v="0"/>
    <x v="0"/>
    <x v="0"/>
    <n v="1362863299"/>
    <n v="1360271299"/>
    <b v="1"/>
    <x v="373"/>
    <b v="1"/>
    <x v="30"/>
    <x v="1548"/>
    <n v="51077.11"/>
    <x v="2"/>
    <x v="30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x v="374"/>
    <b v="1"/>
    <x v="30"/>
    <x v="1549"/>
    <n v="28137.8"/>
    <x v="2"/>
    <x v="30"/>
  </r>
  <r>
    <x v="2018"/>
    <x v="2018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x v="375"/>
    <b v="1"/>
    <x v="30"/>
    <x v="1550"/>
    <n v="65729.114999999991"/>
    <x v="2"/>
    <x v="30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x v="376"/>
    <b v="1"/>
    <x v="30"/>
    <x v="1551"/>
    <n v="116981.95"/>
    <x v="2"/>
    <x v="30"/>
  </r>
  <r>
    <x v="2020"/>
    <x v="2020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x v="259"/>
    <b v="1"/>
    <x v="30"/>
    <x v="1552"/>
    <n v="2192.5"/>
    <x v="2"/>
    <x v="3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x v="195"/>
    <b v="1"/>
    <x v="30"/>
    <x v="1553"/>
    <n v="9527.5"/>
    <x v="2"/>
    <x v="30"/>
  </r>
  <r>
    <x v="2022"/>
    <x v="2022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x v="166"/>
    <b v="1"/>
    <x v="30"/>
    <x v="1554"/>
    <n v="112568.5"/>
    <x v="2"/>
    <x v="30"/>
  </r>
  <r>
    <x v="2023"/>
    <x v="2023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x v="377"/>
    <b v="1"/>
    <x v="30"/>
    <x v="1555"/>
    <n v="130729.5"/>
    <x v="2"/>
    <x v="30"/>
  </r>
  <r>
    <x v="2024"/>
    <x v="2024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x v="217"/>
    <b v="1"/>
    <x v="30"/>
    <x v="1556"/>
    <n v="13707"/>
    <x v="2"/>
    <x v="30"/>
  </r>
  <r>
    <x v="2025"/>
    <x v="2025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x v="378"/>
    <b v="1"/>
    <x v="30"/>
    <x v="1557"/>
    <n v="120460"/>
    <x v="2"/>
    <x v="30"/>
  </r>
  <r>
    <x v="2026"/>
    <x v="2026"/>
    <s v="MIDI Sprout enables plants to play synthesizers in real time."/>
    <n v="25000"/>
    <n v="33370.769999999997"/>
    <x v="0"/>
    <x v="0"/>
    <x v="0"/>
    <n v="1398052740"/>
    <n v="1394127585"/>
    <b v="1"/>
    <x v="379"/>
    <b v="1"/>
    <x v="30"/>
    <x v="1558"/>
    <n v="29185.384999999998"/>
    <x v="2"/>
    <x v="30"/>
  </r>
  <r>
    <x v="2027"/>
    <x v="2027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x v="380"/>
    <b v="1"/>
    <x v="30"/>
    <x v="1559"/>
    <n v="110124.5"/>
    <x v="2"/>
    <x v="30"/>
  </r>
  <r>
    <x v="2028"/>
    <x v="2028"/>
    <s v="Building an open source Bussard fusion reactor, aka the Polywell."/>
    <n v="3000"/>
    <n v="3785"/>
    <x v="0"/>
    <x v="0"/>
    <x v="0"/>
    <n v="1268690100"/>
    <n v="1265493806"/>
    <b v="1"/>
    <x v="1"/>
    <b v="1"/>
    <x v="30"/>
    <x v="1560"/>
    <n v="3392.5"/>
    <x v="2"/>
    <x v="30"/>
  </r>
  <r>
    <x v="2029"/>
    <x v="2029"/>
    <s v="Lumin8 Pro is a fun and easy to use light controller that makes light dance to your favorite music."/>
    <n v="2500"/>
    <n v="9030"/>
    <x v="0"/>
    <x v="0"/>
    <x v="0"/>
    <n v="1409099481"/>
    <n v="1406507481"/>
    <b v="1"/>
    <x v="225"/>
    <b v="1"/>
    <x v="30"/>
    <x v="1561"/>
    <n v="5765"/>
    <x v="2"/>
    <x v="30"/>
  </r>
  <r>
    <x v="2030"/>
    <x v="2030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x v="381"/>
    <b v="1"/>
    <x v="30"/>
    <x v="1562"/>
    <n v="53451"/>
    <x v="2"/>
    <x v="30"/>
  </r>
  <r>
    <x v="2031"/>
    <x v="2031"/>
    <s v="With Linkio you can use your smartphone to control every electronic you own- for only $100!"/>
    <n v="50000"/>
    <n v="60175"/>
    <x v="0"/>
    <x v="9"/>
    <x v="3"/>
    <n v="1420765200"/>
    <n v="1417506853"/>
    <b v="1"/>
    <x v="278"/>
    <b v="1"/>
    <x v="30"/>
    <x v="1563"/>
    <n v="55087.5"/>
    <x v="2"/>
    <x v="30"/>
  </r>
  <r>
    <x v="2032"/>
    <x v="2032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x v="382"/>
    <b v="1"/>
    <x v="30"/>
    <x v="1564"/>
    <n v="50523.5"/>
    <x v="2"/>
    <x v="30"/>
  </r>
  <r>
    <x v="2033"/>
    <x v="2033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x v="150"/>
    <b v="1"/>
    <x v="30"/>
    <x v="1565"/>
    <n v="34834.5"/>
    <x v="2"/>
    <x v="3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x v="278"/>
    <b v="1"/>
    <x v="30"/>
    <x v="1566"/>
    <n v="189859.79500000001"/>
    <x v="2"/>
    <x v="30"/>
  </r>
  <r>
    <x v="2035"/>
    <x v="2035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x v="383"/>
    <b v="1"/>
    <x v="30"/>
    <x v="1567"/>
    <n v="124414.57"/>
    <x v="2"/>
    <x v="30"/>
  </r>
  <r>
    <x v="2036"/>
    <x v="2036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x v="384"/>
    <b v="1"/>
    <x v="30"/>
    <x v="1568"/>
    <n v="34750.25"/>
    <x v="2"/>
    <x v="30"/>
  </r>
  <r>
    <x v="2037"/>
    <x v="2037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x v="385"/>
    <b v="1"/>
    <x v="30"/>
    <x v="1569"/>
    <n v="20023.82"/>
    <x v="2"/>
    <x v="30"/>
  </r>
  <r>
    <x v="2038"/>
    <x v="2038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x v="386"/>
    <b v="1"/>
    <x v="30"/>
    <x v="1570"/>
    <n v="20820.5"/>
    <x v="2"/>
    <x v="30"/>
  </r>
  <r>
    <x v="2039"/>
    <x v="2039"/>
    <s v="Open up your digital worlds with the most sophisticated, intuitive android smart projector."/>
    <n v="125000"/>
    <n v="170271"/>
    <x v="0"/>
    <x v="0"/>
    <x v="0"/>
    <n v="1480568340"/>
    <n v="1477996325"/>
    <b v="1"/>
    <x v="169"/>
    <b v="1"/>
    <x v="30"/>
    <x v="1571"/>
    <n v="147635.5"/>
    <x v="2"/>
    <x v="30"/>
  </r>
  <r>
    <x v="2040"/>
    <x v="2040"/>
    <s v="4.29 Billion+ Capacitor Combinations._x000a_No Coding Required."/>
    <n v="3000"/>
    <n v="7445.14"/>
    <x v="0"/>
    <x v="0"/>
    <x v="0"/>
    <n v="1384557303"/>
    <n v="1383257703"/>
    <b v="1"/>
    <x v="197"/>
    <b v="1"/>
    <x v="30"/>
    <x v="1572"/>
    <n v="5222.57"/>
    <x v="2"/>
    <x v="30"/>
  </r>
  <r>
    <x v="2041"/>
    <x v="2041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x v="148"/>
    <b v="1"/>
    <x v="30"/>
    <x v="1573"/>
    <n v="13388.5"/>
    <x v="2"/>
    <x v="30"/>
  </r>
  <r>
    <x v="2042"/>
    <x v="2042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x v="205"/>
    <b v="1"/>
    <x v="30"/>
    <x v="1574"/>
    <n v="11176.5"/>
    <x v="2"/>
    <x v="30"/>
  </r>
  <r>
    <x v="2043"/>
    <x v="2043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x v="189"/>
    <b v="1"/>
    <x v="30"/>
    <x v="1575"/>
    <n v="4198"/>
    <x v="2"/>
    <x v="30"/>
  </r>
  <r>
    <x v="2044"/>
    <x v="2044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x v="387"/>
    <b v="1"/>
    <x v="30"/>
    <x v="1576"/>
    <n v="15616"/>
    <x v="2"/>
    <x v="30"/>
  </r>
  <r>
    <x v="2045"/>
    <x v="2045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x v="40"/>
    <b v="1"/>
    <x v="30"/>
    <x v="1577"/>
    <n v="22520.005000000001"/>
    <x v="2"/>
    <x v="30"/>
  </r>
  <r>
    <x v="2046"/>
    <x v="2046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x v="37"/>
    <b v="1"/>
    <x v="30"/>
    <x v="1578"/>
    <n v="11055"/>
    <x v="2"/>
    <x v="30"/>
  </r>
  <r>
    <x v="2047"/>
    <x v="2047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x v="388"/>
    <b v="1"/>
    <x v="30"/>
    <x v="1579"/>
    <n v="99469.5"/>
    <x v="2"/>
    <x v="30"/>
  </r>
  <r>
    <x v="2048"/>
    <x v="2048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x v="389"/>
    <b v="1"/>
    <x v="30"/>
    <x v="1580"/>
    <n v="105541.22500000001"/>
    <x v="2"/>
    <x v="30"/>
  </r>
  <r>
    <x v="2049"/>
    <x v="2049"/>
    <s v="Keyless. Alarm secured. GPS tracking."/>
    <n v="50000"/>
    <n v="60095.35"/>
    <x v="0"/>
    <x v="1"/>
    <x v="1"/>
    <n v="1386025140"/>
    <n v="1382963963"/>
    <b v="0"/>
    <x v="390"/>
    <b v="1"/>
    <x v="30"/>
    <x v="1581"/>
    <n v="55047.675000000003"/>
    <x v="2"/>
    <x v="3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x v="203"/>
    <b v="1"/>
    <x v="30"/>
    <x v="1582"/>
    <n v="28663.5"/>
    <x v="2"/>
    <x v="30"/>
  </r>
  <r>
    <x v="2051"/>
    <x v="2051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x v="391"/>
    <b v="1"/>
    <x v="30"/>
    <x v="1583"/>
    <n v="9214.5"/>
    <x v="2"/>
    <x v="30"/>
  </r>
  <r>
    <x v="2052"/>
    <x v="2052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x v="392"/>
    <b v="1"/>
    <x v="30"/>
    <x v="1584"/>
    <n v="113262"/>
    <x v="2"/>
    <x v="30"/>
  </r>
  <r>
    <x v="2053"/>
    <x v="2053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x v="212"/>
    <b v="1"/>
    <x v="30"/>
    <x v="1585"/>
    <n v="5025.5"/>
    <x v="2"/>
    <x v="30"/>
  </r>
  <r>
    <x v="2054"/>
    <x v="2054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x v="393"/>
    <b v="1"/>
    <x v="30"/>
    <x v="1586"/>
    <n v="37378.5"/>
    <x v="2"/>
    <x v="30"/>
  </r>
  <r>
    <x v="2055"/>
    <x v="2055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x v="21"/>
    <b v="1"/>
    <x v="30"/>
    <x v="1587"/>
    <n v="8022.5"/>
    <x v="2"/>
    <x v="30"/>
  </r>
  <r>
    <x v="2056"/>
    <x v="2056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x v="394"/>
    <b v="1"/>
    <x v="30"/>
    <x v="1588"/>
    <n v="63363"/>
    <x v="2"/>
    <x v="30"/>
  </r>
  <r>
    <x v="2057"/>
    <x v="2057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x v="395"/>
    <b v="1"/>
    <x v="30"/>
    <x v="1589"/>
    <n v="22667.415000000001"/>
    <x v="2"/>
    <x v="30"/>
  </r>
  <r>
    <x v="2058"/>
    <x v="2058"/>
    <s v="Making using the serial terminal on the Raspberry Pi as easy as Pi!"/>
    <n v="2560"/>
    <n v="4308"/>
    <x v="0"/>
    <x v="1"/>
    <x v="1"/>
    <n v="1425326400"/>
    <n v="1421916830"/>
    <b v="0"/>
    <x v="396"/>
    <b v="1"/>
    <x v="30"/>
    <x v="1590"/>
    <n v="3434"/>
    <x v="2"/>
    <x v="3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x v="269"/>
    <b v="1"/>
    <x v="30"/>
    <x v="1591"/>
    <n v="36518.5"/>
    <x v="2"/>
    <x v="30"/>
  </r>
  <r>
    <x v="2060"/>
    <x v="2060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x v="397"/>
    <b v="1"/>
    <x v="30"/>
    <x v="1592"/>
    <n v="37050"/>
    <x v="2"/>
    <x v="30"/>
  </r>
  <r>
    <x v="2061"/>
    <x v="2061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x v="2"/>
    <b v="1"/>
    <x v="30"/>
    <x v="1593"/>
    <n v="5198"/>
    <x v="2"/>
    <x v="30"/>
  </r>
  <r>
    <x v="2062"/>
    <x v="2062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x v="398"/>
    <b v="1"/>
    <x v="30"/>
    <x v="1594"/>
    <n v="107488.5"/>
    <x v="2"/>
    <x v="30"/>
  </r>
  <r>
    <x v="2063"/>
    <x v="2063"/>
    <s v="Build a professional grade Linux CNC control with Beaglebone black and our CNC cape."/>
    <n v="4000"/>
    <n v="5922"/>
    <x v="0"/>
    <x v="12"/>
    <x v="3"/>
    <n v="1463333701"/>
    <n v="1460482501"/>
    <b v="0"/>
    <x v="72"/>
    <b v="1"/>
    <x v="30"/>
    <x v="1595"/>
    <n v="4961"/>
    <x v="2"/>
    <x v="30"/>
  </r>
  <r>
    <x v="2064"/>
    <x v="2064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x v="399"/>
    <b v="1"/>
    <x v="30"/>
    <x v="1596"/>
    <n v="381373.13500000001"/>
    <x v="2"/>
    <x v="3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x v="400"/>
    <b v="1"/>
    <x v="30"/>
    <x v="1597"/>
    <n v="59843.025000000001"/>
    <x v="2"/>
    <x v="30"/>
  </r>
  <r>
    <x v="2066"/>
    <x v="2066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x v="71"/>
    <b v="1"/>
    <x v="30"/>
    <x v="1598"/>
    <n v="3186"/>
    <x v="2"/>
    <x v="30"/>
  </r>
  <r>
    <x v="2067"/>
    <x v="2067"/>
    <s v="The next generation of premium quality LED lighting. Extreme power efficiency in a small package."/>
    <n v="495"/>
    <n v="628"/>
    <x v="0"/>
    <x v="1"/>
    <x v="1"/>
    <n v="1432499376"/>
    <n v="1429648176"/>
    <b v="0"/>
    <x v="73"/>
    <b v="1"/>
    <x v="30"/>
    <x v="1599"/>
    <n v="561.5"/>
    <x v="2"/>
    <x v="30"/>
  </r>
  <r>
    <x v="2068"/>
    <x v="2068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x v="88"/>
    <b v="1"/>
    <x v="30"/>
    <x v="1600"/>
    <n v="25652.985000000001"/>
    <x v="2"/>
    <x v="30"/>
  </r>
  <r>
    <x v="2069"/>
    <x v="2069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x v="40"/>
    <b v="1"/>
    <x v="30"/>
    <x v="1601"/>
    <n v="57101.665000000001"/>
    <x v="2"/>
    <x v="30"/>
  </r>
  <r>
    <x v="2070"/>
    <x v="2070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x v="401"/>
    <b v="1"/>
    <x v="30"/>
    <x v="1602"/>
    <n v="260829.5"/>
    <x v="2"/>
    <x v="30"/>
  </r>
  <r>
    <x v="2071"/>
    <x v="2071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x v="402"/>
    <b v="1"/>
    <x v="30"/>
    <x v="1603"/>
    <n v="38073"/>
    <x v="2"/>
    <x v="30"/>
  </r>
  <r>
    <x v="2072"/>
    <x v="2072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x v="403"/>
    <b v="1"/>
    <x v="30"/>
    <x v="1604"/>
    <n v="75336.5"/>
    <x v="2"/>
    <x v="30"/>
  </r>
  <r>
    <x v="2073"/>
    <x v="2073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x v="404"/>
    <b v="1"/>
    <x v="30"/>
    <x v="1605"/>
    <n v="126302.15"/>
    <x v="2"/>
    <x v="30"/>
  </r>
  <r>
    <x v="2074"/>
    <x v="2074"/>
    <s v="Creating PC gaming controllers to bring your gaming experience to a new level."/>
    <n v="600"/>
    <n v="615"/>
    <x v="0"/>
    <x v="0"/>
    <x v="0"/>
    <n v="1462564182"/>
    <n v="1459972182"/>
    <b v="0"/>
    <x v="83"/>
    <b v="1"/>
    <x v="30"/>
    <x v="78"/>
    <n v="607.5"/>
    <x v="2"/>
    <x v="30"/>
  </r>
  <r>
    <x v="2075"/>
    <x v="2075"/>
    <s v="The Practical Meter helps you charge your phone faster by solving a problem millions of people experience."/>
    <n v="9999"/>
    <n v="167820.6"/>
    <x v="0"/>
    <x v="0"/>
    <x v="0"/>
    <n v="1374769288"/>
    <n v="1372177288"/>
    <b v="0"/>
    <x v="405"/>
    <b v="1"/>
    <x v="30"/>
    <x v="1606"/>
    <n v="88909.8"/>
    <x v="2"/>
    <x v="30"/>
  </r>
  <r>
    <x v="2076"/>
    <x v="2076"/>
    <s v="Wireless earbuds filled with sound, yet so small they are almost invisible!"/>
    <n v="179000"/>
    <n v="972594.99"/>
    <x v="0"/>
    <x v="1"/>
    <x v="1"/>
    <n v="1406149689"/>
    <n v="1402693689"/>
    <b v="0"/>
    <x v="406"/>
    <b v="1"/>
    <x v="30"/>
    <x v="1607"/>
    <n v="575797.495"/>
    <x v="2"/>
    <x v="30"/>
  </r>
  <r>
    <x v="2077"/>
    <x v="2077"/>
    <s v="A Whole New Way to Get TV: Watch four live TV channels at once on your tablet, smartphone, or big screen TV!"/>
    <n v="50000"/>
    <n v="57754"/>
    <x v="0"/>
    <x v="0"/>
    <x v="0"/>
    <n v="1433538000"/>
    <n v="1428541276"/>
    <b v="0"/>
    <x v="101"/>
    <b v="1"/>
    <x v="30"/>
    <x v="1608"/>
    <n v="53877"/>
    <x v="2"/>
    <x v="30"/>
  </r>
  <r>
    <x v="2078"/>
    <x v="2078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x v="53"/>
    <b v="1"/>
    <x v="30"/>
    <x v="1609"/>
    <n v="23120.5"/>
    <x v="2"/>
    <x v="30"/>
  </r>
  <r>
    <x v="2079"/>
    <x v="2079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x v="407"/>
    <b v="1"/>
    <x v="30"/>
    <x v="1610"/>
    <n v="19408.5"/>
    <x v="2"/>
    <x v="30"/>
  </r>
  <r>
    <x v="2080"/>
    <x v="2080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x v="133"/>
    <b v="1"/>
    <x v="30"/>
    <x v="1611"/>
    <n v="3039"/>
    <x v="2"/>
    <x v="30"/>
  </r>
  <r>
    <x v="2081"/>
    <x v="2081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x v="165"/>
    <b v="1"/>
    <x v="14"/>
    <x v="1612"/>
    <n v="3755"/>
    <x v="4"/>
    <x v="14"/>
  </r>
  <r>
    <x v="2082"/>
    <x v="2082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x v="44"/>
    <b v="1"/>
    <x v="14"/>
    <x v="1613"/>
    <n v="1580.5"/>
    <x v="4"/>
    <x v="14"/>
  </r>
  <r>
    <x v="2083"/>
    <x v="2083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x v="20"/>
    <b v="1"/>
    <x v="14"/>
    <x v="1614"/>
    <n v="800"/>
    <x v="4"/>
    <x v="14"/>
  </r>
  <r>
    <x v="2084"/>
    <x v="2084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x v="67"/>
    <b v="1"/>
    <x v="14"/>
    <x v="1002"/>
    <n v="3125"/>
    <x v="4"/>
    <x v="14"/>
  </r>
  <r>
    <x v="2085"/>
    <x v="2085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x v="183"/>
    <b v="1"/>
    <x v="14"/>
    <x v="1615"/>
    <n v="6706"/>
    <x v="4"/>
    <x v="14"/>
  </r>
  <r>
    <x v="2086"/>
    <x v="2086"/>
    <s v="I am in the process of completing 4 new EPs to be released in Winter, Spring, Summer, and Fall of 2012."/>
    <n v="4000"/>
    <n v="4028"/>
    <x v="0"/>
    <x v="0"/>
    <x v="0"/>
    <n v="1323838740"/>
    <n v="1321200332"/>
    <b v="0"/>
    <x v="2"/>
    <b v="1"/>
    <x v="14"/>
    <x v="1616"/>
    <n v="4014"/>
    <x v="4"/>
    <x v="14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x v="20"/>
    <b v="1"/>
    <x v="14"/>
    <x v="1617"/>
    <n v="1526.5"/>
    <x v="4"/>
    <x v="14"/>
  </r>
  <r>
    <x v="2088"/>
    <x v="2088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x v="11"/>
    <b v="1"/>
    <x v="14"/>
    <x v="1618"/>
    <n v="3232.66"/>
    <x v="4"/>
    <x v="14"/>
  </r>
  <r>
    <x v="2089"/>
    <x v="2089"/>
    <s v="Little Moses is trying to record their first EP, and we can't do it without your help!"/>
    <n v="2500"/>
    <n v="3010.01"/>
    <x v="0"/>
    <x v="0"/>
    <x v="0"/>
    <n v="1375408194"/>
    <n v="1372384194"/>
    <b v="0"/>
    <x v="95"/>
    <b v="1"/>
    <x v="14"/>
    <x v="1619"/>
    <n v="2755.0050000000001"/>
    <x v="4"/>
    <x v="14"/>
  </r>
  <r>
    <x v="2090"/>
    <x v="2090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x v="322"/>
    <b v="1"/>
    <x v="14"/>
    <x v="1620"/>
    <n v="8601.6149999999998"/>
    <x v="4"/>
    <x v="14"/>
  </r>
  <r>
    <x v="2091"/>
    <x v="2091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x v="336"/>
    <b v="1"/>
    <x v="14"/>
    <x v="1621"/>
    <n v="19842.099999999999"/>
    <x v="4"/>
    <x v="14"/>
  </r>
  <r>
    <x v="2092"/>
    <x v="2092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x v="165"/>
    <b v="1"/>
    <x v="14"/>
    <x v="1622"/>
    <n v="6038.5"/>
    <x v="4"/>
    <x v="14"/>
  </r>
  <r>
    <x v="2093"/>
    <x v="2093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x v="23"/>
    <b v="1"/>
    <x v="14"/>
    <x v="95"/>
    <n v="1518.5"/>
    <x v="4"/>
    <x v="14"/>
  </r>
  <r>
    <x v="2094"/>
    <x v="2094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x v="250"/>
    <b v="1"/>
    <x v="14"/>
    <x v="1623"/>
    <n v="3859.5"/>
    <x v="4"/>
    <x v="14"/>
  </r>
  <r>
    <x v="2095"/>
    <x v="2095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x v="19"/>
    <b v="1"/>
    <x v="14"/>
    <x v="31"/>
    <n v="2500"/>
    <x v="4"/>
    <x v="14"/>
  </r>
  <r>
    <x v="2096"/>
    <x v="2096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x v="25"/>
    <b v="1"/>
    <x v="14"/>
    <x v="658"/>
    <n v="605"/>
    <x v="4"/>
    <x v="14"/>
  </r>
  <r>
    <x v="2097"/>
    <x v="2097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x v="44"/>
    <b v="1"/>
    <x v="14"/>
    <x v="31"/>
    <n v="3000"/>
    <x v="4"/>
    <x v="14"/>
  </r>
  <r>
    <x v="2098"/>
    <x v="2098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x v="58"/>
    <b v="1"/>
    <x v="14"/>
    <x v="1415"/>
    <n v="6010"/>
    <x v="4"/>
    <x v="14"/>
  </r>
  <r>
    <x v="2099"/>
    <x v="2099"/>
    <s v="Our tour van died, we need help!"/>
    <n v="3000"/>
    <n v="3971"/>
    <x v="0"/>
    <x v="0"/>
    <x v="0"/>
    <n v="1435808400"/>
    <n v="1434650084"/>
    <b v="0"/>
    <x v="287"/>
    <b v="1"/>
    <x v="14"/>
    <x v="1624"/>
    <n v="3485.5"/>
    <x v="4"/>
    <x v="14"/>
  </r>
  <r>
    <x v="2100"/>
    <x v="2100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x v="74"/>
    <b v="1"/>
    <x v="14"/>
    <x v="1625"/>
    <n v="710"/>
    <x v="4"/>
    <x v="14"/>
  </r>
  <r>
    <x v="2101"/>
    <x v="2101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x v="34"/>
    <b v="1"/>
    <x v="14"/>
    <x v="1626"/>
    <n v="2132.5"/>
    <x v="4"/>
    <x v="14"/>
  </r>
  <r>
    <x v="2102"/>
    <x v="2102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x v="44"/>
    <b v="1"/>
    <x v="14"/>
    <x v="1627"/>
    <n v="1180"/>
    <x v="4"/>
    <x v="14"/>
  </r>
  <r>
    <x v="2103"/>
    <x v="2103"/>
    <s v="Indie rocker, Matthew Moon, has something to share with you..."/>
    <n v="7777"/>
    <n v="11364"/>
    <x v="0"/>
    <x v="0"/>
    <x v="0"/>
    <n v="1352488027"/>
    <n v="1349892427"/>
    <b v="0"/>
    <x v="248"/>
    <b v="1"/>
    <x v="14"/>
    <x v="1628"/>
    <n v="9570.5"/>
    <x v="4"/>
    <x v="14"/>
  </r>
  <r>
    <x v="2104"/>
    <x v="2104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x v="77"/>
    <b v="1"/>
    <x v="14"/>
    <x v="1629"/>
    <n v="918"/>
    <x v="4"/>
    <x v="14"/>
  </r>
  <r>
    <x v="2105"/>
    <x v="2105"/>
    <s v="Help Layla the Wolf fund the printing and releasing of our first E.P. Release called &quot;Sugar&quot;."/>
    <n v="2000"/>
    <n v="5080"/>
    <x v="0"/>
    <x v="0"/>
    <x v="0"/>
    <n v="1416542400"/>
    <n v="1415472953"/>
    <b v="0"/>
    <x v="221"/>
    <b v="1"/>
    <x v="14"/>
    <x v="1630"/>
    <n v="3540"/>
    <x v="4"/>
    <x v="14"/>
  </r>
  <r>
    <x v="2106"/>
    <x v="2106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x v="34"/>
    <b v="1"/>
    <x v="14"/>
    <x v="1631"/>
    <n v="2277.5"/>
    <x v="4"/>
    <x v="14"/>
  </r>
  <r>
    <x v="2107"/>
    <x v="2107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x v="6"/>
    <b v="1"/>
    <x v="14"/>
    <x v="1632"/>
    <n v="2077.33"/>
    <x v="4"/>
    <x v="14"/>
  </r>
  <r>
    <x v="2108"/>
    <x v="2108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x v="277"/>
    <b v="1"/>
    <x v="14"/>
    <x v="1633"/>
    <n v="16585"/>
    <x v="4"/>
    <x v="14"/>
  </r>
  <r>
    <x v="2109"/>
    <x v="2109"/>
    <s v="We are ready to make our first full-length album, and with your help, we can make it happen!"/>
    <n v="4000"/>
    <n v="4261"/>
    <x v="0"/>
    <x v="0"/>
    <x v="0"/>
    <n v="1436115617"/>
    <n v="1433523617"/>
    <b v="0"/>
    <x v="244"/>
    <b v="1"/>
    <x v="14"/>
    <x v="1634"/>
    <n v="4130.5"/>
    <x v="4"/>
    <x v="14"/>
  </r>
  <r>
    <x v="2110"/>
    <x v="2110"/>
    <s v="Brent Brown's breakout new album! Requires help from the record label... You!"/>
    <n v="2000"/>
    <n v="2007"/>
    <x v="0"/>
    <x v="0"/>
    <x v="0"/>
    <n v="1401253140"/>
    <n v="1398873969"/>
    <b v="0"/>
    <x v="44"/>
    <b v="1"/>
    <x v="14"/>
    <x v="28"/>
    <n v="2003.5"/>
    <x v="4"/>
    <x v="14"/>
  </r>
  <r>
    <x v="2111"/>
    <x v="2111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x v="70"/>
    <b v="1"/>
    <x v="14"/>
    <x v="1635"/>
    <n v="2065"/>
    <x v="4"/>
    <x v="14"/>
  </r>
  <r>
    <x v="2112"/>
    <x v="2112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x v="202"/>
    <b v="1"/>
    <x v="14"/>
    <x v="31"/>
    <n v="300"/>
    <x v="4"/>
    <x v="14"/>
  </r>
  <r>
    <x v="2113"/>
    <x v="2113"/>
    <s v="Help us fund our second full-length album Honeycomb!"/>
    <n v="7000"/>
    <n v="7340"/>
    <x v="0"/>
    <x v="0"/>
    <x v="0"/>
    <n v="1411505176"/>
    <n v="1408481176"/>
    <b v="0"/>
    <x v="329"/>
    <b v="1"/>
    <x v="14"/>
    <x v="1636"/>
    <n v="7170"/>
    <x v="4"/>
    <x v="14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x v="206"/>
    <b v="1"/>
    <x v="14"/>
    <x v="1637"/>
    <n v="5117.5"/>
    <x v="4"/>
    <x v="14"/>
  </r>
  <r>
    <x v="2115"/>
    <x v="2115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x v="17"/>
    <b v="1"/>
    <x v="14"/>
    <x v="1638"/>
    <n v="2442.5"/>
    <x v="4"/>
    <x v="14"/>
  </r>
  <r>
    <x v="2116"/>
    <x v="2116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x v="297"/>
    <b v="1"/>
    <x v="14"/>
    <x v="1639"/>
    <n v="48217"/>
    <x v="4"/>
    <x v="14"/>
  </r>
  <r>
    <x v="2117"/>
    <x v="2117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x v="2"/>
    <b v="1"/>
    <x v="14"/>
    <x v="1640"/>
    <n v="1486.5"/>
    <x v="4"/>
    <x v="14"/>
  </r>
  <r>
    <x v="2118"/>
    <x v="2118"/>
    <s v="PORCHES.  and Documentarians tour from New York to San Francisco and back."/>
    <n v="1000"/>
    <n v="1346.11"/>
    <x v="0"/>
    <x v="0"/>
    <x v="0"/>
    <n v="1311538136"/>
    <n v="1308946136"/>
    <b v="0"/>
    <x v="57"/>
    <b v="1"/>
    <x v="14"/>
    <x v="1641"/>
    <n v="1173.0549999999998"/>
    <x v="4"/>
    <x v="14"/>
  </r>
  <r>
    <x v="2119"/>
    <x v="2119"/>
    <s v="big long now is recording our debut album and we are looking for help mastering and pressing it to vinyl"/>
    <n v="2000"/>
    <n v="2015"/>
    <x v="0"/>
    <x v="0"/>
    <x v="0"/>
    <n v="1345086445"/>
    <n v="1342494445"/>
    <b v="0"/>
    <x v="19"/>
    <b v="1"/>
    <x v="14"/>
    <x v="1266"/>
    <n v="2007.5"/>
    <x v="4"/>
    <x v="14"/>
  </r>
  <r>
    <x v="2120"/>
    <x v="2120"/>
    <s v="&lt;3_x000a_Coming in from outer space. Help Hearty Har record their 1st album!!"/>
    <n v="8000"/>
    <n v="8070.43"/>
    <x v="0"/>
    <x v="0"/>
    <x v="0"/>
    <n v="1388617736"/>
    <n v="1384384136"/>
    <b v="0"/>
    <x v="50"/>
    <b v="1"/>
    <x v="14"/>
    <x v="1642"/>
    <n v="8035.2150000000001"/>
    <x v="4"/>
    <x v="14"/>
  </r>
  <r>
    <x v="2121"/>
    <x v="2121"/>
    <s v="Join us on an epic journey to discover a millennia old secret which will change the world forever."/>
    <n v="50000"/>
    <n v="284"/>
    <x v="2"/>
    <x v="16"/>
    <x v="11"/>
    <n v="1484156948"/>
    <n v="1481564948"/>
    <b v="0"/>
    <x v="73"/>
    <b v="0"/>
    <x v="17"/>
    <x v="1643"/>
    <n v="25142"/>
    <x v="6"/>
    <x v="17"/>
  </r>
  <r>
    <x v="2122"/>
    <x v="2122"/>
    <s v="Captain Kalani it's a retro game full of nostalgia for the old gamers but interesting for the new ones"/>
    <n v="80000"/>
    <n v="310"/>
    <x v="2"/>
    <x v="14"/>
    <x v="10"/>
    <n v="1483773169"/>
    <n v="1481181169"/>
    <b v="0"/>
    <x v="83"/>
    <b v="0"/>
    <x v="17"/>
    <x v="1644"/>
    <n v="40155"/>
    <x v="6"/>
    <x v="17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x v="81"/>
    <b v="0"/>
    <x v="17"/>
    <x v="709"/>
    <n v="275"/>
    <x v="6"/>
    <x v="17"/>
  </r>
  <r>
    <x v="2124"/>
    <x v="2124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x v="81"/>
    <b v="0"/>
    <x v="17"/>
    <x v="1645"/>
    <n v="607.5"/>
    <x v="6"/>
    <x v="17"/>
  </r>
  <r>
    <x v="2125"/>
    <x v="2125"/>
    <s v="Becoming is a video game that aims to portray mental illness through a metaphysical and emotional story."/>
    <n v="60000"/>
    <n v="852"/>
    <x v="2"/>
    <x v="0"/>
    <x v="0"/>
    <n v="1438734833"/>
    <n v="1436142833"/>
    <b v="0"/>
    <x v="74"/>
    <b v="0"/>
    <x v="17"/>
    <x v="1646"/>
    <n v="30426"/>
    <x v="6"/>
    <x v="17"/>
  </r>
  <r>
    <x v="2126"/>
    <x v="2126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x v="84"/>
    <b v="0"/>
    <x v="17"/>
    <x v="833"/>
    <n v="10005"/>
    <x v="6"/>
    <x v="17"/>
  </r>
  <r>
    <x v="2127"/>
    <x v="2127"/>
    <s v="Three Monkeys is an audio adventure game for PC."/>
    <n v="28000"/>
    <n v="8076"/>
    <x v="2"/>
    <x v="1"/>
    <x v="1"/>
    <n v="1426158463"/>
    <n v="1423570063"/>
    <b v="0"/>
    <x v="163"/>
    <b v="0"/>
    <x v="17"/>
    <x v="1647"/>
    <n v="18038"/>
    <x v="6"/>
    <x v="17"/>
  </r>
  <r>
    <x v="2128"/>
    <x v="2128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x v="29"/>
    <b v="0"/>
    <x v="17"/>
    <x v="874"/>
    <n v="7512.5"/>
    <x v="6"/>
    <x v="17"/>
  </r>
  <r>
    <x v="2129"/>
    <x v="2129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x v="8"/>
    <b v="0"/>
    <x v="17"/>
    <x v="1648"/>
    <n v="1118"/>
    <x v="6"/>
    <x v="17"/>
  </r>
  <r>
    <x v="2130"/>
    <x v="2130"/>
    <s v="You are the hero tasked to save your home from the villainous Sanword."/>
    <n v="42000"/>
    <n v="85"/>
    <x v="2"/>
    <x v="0"/>
    <x v="0"/>
    <n v="1408154663"/>
    <n v="1405130663"/>
    <b v="0"/>
    <x v="80"/>
    <b v="0"/>
    <x v="17"/>
    <x v="1649"/>
    <n v="21042.5"/>
    <x v="6"/>
    <x v="17"/>
  </r>
  <r>
    <x v="2131"/>
    <x v="2131"/>
    <s v="From frightened girl to empowered woman, Scout's Honor is a tale about facing your fears and overcoming odds."/>
    <n v="500"/>
    <n v="25"/>
    <x v="2"/>
    <x v="0"/>
    <x v="0"/>
    <n v="1436677091"/>
    <n v="1434085091"/>
    <b v="0"/>
    <x v="83"/>
    <b v="0"/>
    <x v="17"/>
    <x v="152"/>
    <n v="262.5"/>
    <x v="6"/>
    <x v="17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x v="221"/>
    <b v="0"/>
    <x v="17"/>
    <x v="1650"/>
    <n v="51056.495000000003"/>
    <x v="6"/>
    <x v="17"/>
  </r>
  <r>
    <x v="2133"/>
    <x v="2133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x v="83"/>
    <b v="0"/>
    <x v="17"/>
    <x v="1462"/>
    <n v="508"/>
    <x v="6"/>
    <x v="17"/>
  </r>
  <r>
    <x v="2134"/>
    <x v="2134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x v="83"/>
    <b v="0"/>
    <x v="17"/>
    <x v="1651"/>
    <n v="3052"/>
    <x v="6"/>
    <x v="17"/>
  </r>
  <r>
    <x v="2135"/>
    <x v="2135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x v="19"/>
    <b v="0"/>
    <x v="17"/>
    <x v="1652"/>
    <n v="2739"/>
    <x v="6"/>
    <x v="17"/>
  </r>
  <r>
    <x v="2136"/>
    <x v="2136"/>
    <s v="A dark and twisted game with physiological madness and corruption as a man becomes the ultimate bio weapon."/>
    <n v="80000"/>
    <n v="47.69"/>
    <x v="2"/>
    <x v="0"/>
    <x v="0"/>
    <n v="1382184786"/>
    <n v="1379592786"/>
    <b v="0"/>
    <x v="80"/>
    <b v="0"/>
    <x v="17"/>
    <x v="1653"/>
    <n v="40023.845000000001"/>
    <x v="6"/>
    <x v="17"/>
  </r>
  <r>
    <x v="2137"/>
    <x v="2137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x v="408"/>
    <b v="0"/>
    <x v="17"/>
    <x v="1654"/>
    <n v="32101.5"/>
    <x v="6"/>
    <x v="17"/>
  </r>
  <r>
    <x v="2138"/>
    <x v="2138"/>
    <s v="A game with a mixture of a few genres from RPG, Simulation and to adventure elements."/>
    <n v="1000"/>
    <n v="128"/>
    <x v="2"/>
    <x v="1"/>
    <x v="1"/>
    <n v="1383959939"/>
    <n v="1381364339"/>
    <b v="0"/>
    <x v="8"/>
    <b v="0"/>
    <x v="17"/>
    <x v="1655"/>
    <n v="564"/>
    <x v="6"/>
    <x v="17"/>
  </r>
  <r>
    <x v="2139"/>
    <x v="2139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x v="66"/>
    <b v="0"/>
    <x v="17"/>
    <x v="1656"/>
    <n v="15813"/>
    <x v="6"/>
    <x v="17"/>
  </r>
  <r>
    <x v="2140"/>
    <x v="2140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x v="202"/>
    <b v="0"/>
    <x v="17"/>
    <x v="1657"/>
    <n v="250280"/>
    <x v="6"/>
    <x v="17"/>
  </r>
  <r>
    <x v="2141"/>
    <x v="2141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x v="78"/>
    <b v="0"/>
    <x v="17"/>
    <x v="109"/>
    <n v="7500"/>
    <x v="6"/>
    <x v="17"/>
  </r>
  <r>
    <x v="2142"/>
    <x v="2142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x v="8"/>
    <b v="0"/>
    <x v="17"/>
    <x v="1658"/>
    <n v="5550.5"/>
    <x v="6"/>
    <x v="17"/>
  </r>
  <r>
    <x v="2143"/>
    <x v="2143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x v="81"/>
    <b v="0"/>
    <x v="17"/>
    <x v="1659"/>
    <n v="1112.5"/>
    <x v="6"/>
    <x v="17"/>
  </r>
  <r>
    <x v="2144"/>
    <x v="2144"/>
    <s v="A thousand community-built sandbox games (and more!) with a fully-customizable game engine."/>
    <n v="35500"/>
    <n v="607"/>
    <x v="2"/>
    <x v="0"/>
    <x v="0"/>
    <n v="1379164040"/>
    <n v="1376399240"/>
    <b v="0"/>
    <x v="54"/>
    <b v="0"/>
    <x v="17"/>
    <x v="1660"/>
    <n v="18053.5"/>
    <x v="6"/>
    <x v="17"/>
  </r>
  <r>
    <x v="2145"/>
    <x v="2145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x v="30"/>
    <b v="0"/>
    <x v="17"/>
    <x v="1661"/>
    <n v="9782.5"/>
    <x v="6"/>
    <x v="17"/>
  </r>
  <r>
    <x v="2146"/>
    <x v="2146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x v="29"/>
    <b v="0"/>
    <x v="17"/>
    <x v="459"/>
    <n v="2500.5"/>
    <x v="6"/>
    <x v="17"/>
  </r>
  <r>
    <x v="2147"/>
    <x v="2147"/>
    <s v="A Point and Click Adventure on Steroids."/>
    <n v="390000"/>
    <n v="2716"/>
    <x v="2"/>
    <x v="0"/>
    <x v="0"/>
    <n v="1416125148"/>
    <n v="1413356748"/>
    <b v="0"/>
    <x v="165"/>
    <b v="0"/>
    <x v="17"/>
    <x v="1662"/>
    <n v="196358"/>
    <x v="6"/>
    <x v="17"/>
  </r>
  <r>
    <x v="2148"/>
    <x v="2148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x v="84"/>
    <b v="0"/>
    <x v="17"/>
    <x v="172"/>
    <n v="51"/>
    <x v="6"/>
    <x v="17"/>
  </r>
  <r>
    <x v="2149"/>
    <x v="2149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x v="78"/>
    <b v="0"/>
    <x v="17"/>
    <x v="109"/>
    <n v="1000"/>
    <x v="6"/>
    <x v="17"/>
  </r>
  <r>
    <x v="2150"/>
    <x v="2150"/>
    <s v="A pixel styled open world detective game."/>
    <n v="50000"/>
    <n v="405"/>
    <x v="2"/>
    <x v="10"/>
    <x v="8"/>
    <n v="1468392599"/>
    <n v="1465800599"/>
    <b v="0"/>
    <x v="80"/>
    <b v="0"/>
    <x v="17"/>
    <x v="1663"/>
    <n v="25202.5"/>
    <x v="6"/>
    <x v="17"/>
  </r>
  <r>
    <x v="2151"/>
    <x v="2151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x v="79"/>
    <b v="0"/>
    <x v="17"/>
    <x v="1664"/>
    <n v="22559"/>
    <x v="6"/>
    <x v="17"/>
  </r>
  <r>
    <x v="2152"/>
    <x v="2152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x v="80"/>
    <b v="0"/>
    <x v="17"/>
    <x v="874"/>
    <n v="15025"/>
    <x v="6"/>
    <x v="17"/>
  </r>
  <r>
    <x v="2153"/>
    <x v="2153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x v="80"/>
    <b v="0"/>
    <x v="17"/>
    <x v="1665"/>
    <n v="186329.5"/>
    <x v="6"/>
    <x v="17"/>
  </r>
  <r>
    <x v="2154"/>
    <x v="2154"/>
    <s v="A Real Time Strategy game based on Greek mythology in a fictional world."/>
    <n v="250"/>
    <n v="2"/>
    <x v="2"/>
    <x v="0"/>
    <x v="0"/>
    <n v="1390921827"/>
    <n v="1389193827"/>
    <b v="0"/>
    <x v="84"/>
    <b v="0"/>
    <x v="17"/>
    <x v="417"/>
    <n v="126"/>
    <x v="6"/>
    <x v="17"/>
  </r>
  <r>
    <x v="2155"/>
    <x v="2155"/>
    <s v="A Level Editor, Turned up to eleven. Infinite creativity in one package, solo or with up to 16 of your friends."/>
    <n v="5000"/>
    <n v="115"/>
    <x v="2"/>
    <x v="1"/>
    <x v="1"/>
    <n v="1459443385"/>
    <n v="1456854985"/>
    <b v="0"/>
    <x v="81"/>
    <b v="0"/>
    <x v="17"/>
    <x v="1666"/>
    <n v="2557.5"/>
    <x v="6"/>
    <x v="17"/>
  </r>
  <r>
    <x v="2156"/>
    <x v="2156"/>
    <s v="Captain and manage your ship along with your crew in this deep space adventure! (PC/Linux/Mac)"/>
    <n v="56000"/>
    <n v="1493"/>
    <x v="2"/>
    <x v="0"/>
    <x v="0"/>
    <n v="1379363406"/>
    <n v="1375475406"/>
    <b v="0"/>
    <x v="183"/>
    <b v="0"/>
    <x v="17"/>
    <x v="1667"/>
    <n v="28746.5"/>
    <x v="6"/>
    <x v="17"/>
  </r>
  <r>
    <x v="2157"/>
    <x v="2157"/>
    <s v="Gamers and 90's fans unite in this small tale of epic proportions!"/>
    <n v="75000"/>
    <n v="21144"/>
    <x v="2"/>
    <x v="0"/>
    <x v="0"/>
    <n v="1482479940"/>
    <n v="1479684783"/>
    <b v="0"/>
    <x v="7"/>
    <b v="0"/>
    <x v="17"/>
    <x v="1668"/>
    <n v="48072"/>
    <x v="6"/>
    <x v="17"/>
  </r>
  <r>
    <x v="2158"/>
    <x v="2158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x v="409"/>
    <b v="0"/>
    <x v="17"/>
    <x v="1669"/>
    <n v="159885.05499999999"/>
    <x v="6"/>
    <x v="17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x v="84"/>
    <b v="0"/>
    <x v="17"/>
    <x v="1670"/>
    <n v="1813"/>
    <x v="6"/>
    <x v="17"/>
  </r>
  <r>
    <x v="2160"/>
    <x v="2160"/>
    <s v="An awesome side-scroller tower defense game.  Think &quot;Plants vs Zombies&quot; but from a side-on perspective."/>
    <n v="10000"/>
    <n v="85"/>
    <x v="2"/>
    <x v="0"/>
    <x v="0"/>
    <n v="1337447105"/>
    <n v="1334855105"/>
    <b v="0"/>
    <x v="38"/>
    <b v="0"/>
    <x v="17"/>
    <x v="1671"/>
    <n v="5042.5"/>
    <x v="6"/>
    <x v="17"/>
  </r>
  <r>
    <x v="2161"/>
    <x v="2161"/>
    <s v="We're trying to fund hard copies of our debut album!"/>
    <n v="400"/>
    <n v="463"/>
    <x v="0"/>
    <x v="0"/>
    <x v="0"/>
    <n v="1443040059"/>
    <n v="1440448059"/>
    <b v="0"/>
    <x v="62"/>
    <b v="1"/>
    <x v="11"/>
    <x v="1672"/>
    <n v="431.5"/>
    <x v="4"/>
    <x v="11"/>
  </r>
  <r>
    <x v="2162"/>
    <x v="2162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x v="6"/>
    <b v="1"/>
    <x v="11"/>
    <x v="1146"/>
    <n v="4776"/>
    <x v="4"/>
    <x v="11"/>
  </r>
  <r>
    <x v="2163"/>
    <x v="2163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x v="34"/>
    <b v="1"/>
    <x v="11"/>
    <x v="1673"/>
    <n v="2902.5"/>
    <x v="4"/>
    <x v="11"/>
  </r>
  <r>
    <x v="2164"/>
    <x v="2164"/>
    <s v="South Florida roots country/rock outfit's long awaited debut record"/>
    <n v="5500"/>
    <n v="5645"/>
    <x v="0"/>
    <x v="0"/>
    <x v="0"/>
    <n v="1466827140"/>
    <n v="1464196414"/>
    <b v="0"/>
    <x v="183"/>
    <b v="1"/>
    <x v="11"/>
    <x v="1674"/>
    <n v="5572.5"/>
    <x v="4"/>
    <x v="11"/>
  </r>
  <r>
    <x v="2165"/>
    <x v="2165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x v="27"/>
    <b v="1"/>
    <x v="11"/>
    <x v="1675"/>
    <n v="2983"/>
    <x v="4"/>
    <x v="11"/>
  </r>
  <r>
    <x v="2166"/>
    <x v="2166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x v="58"/>
    <b v="1"/>
    <x v="11"/>
    <x v="1676"/>
    <n v="2466"/>
    <x v="4"/>
    <x v="11"/>
  </r>
  <r>
    <x v="2167"/>
    <x v="2167"/>
    <s v="We need YOUR HELP to take one more step to this make release sound amazing!"/>
    <n v="150"/>
    <n v="180"/>
    <x v="0"/>
    <x v="0"/>
    <x v="0"/>
    <n v="1347672937"/>
    <n v="1346463337"/>
    <b v="0"/>
    <x v="22"/>
    <b v="1"/>
    <x v="11"/>
    <x v="43"/>
    <n v="165"/>
    <x v="4"/>
    <x v="11"/>
  </r>
  <r>
    <x v="2168"/>
    <x v="2168"/>
    <s v="We're hitting the studio to record our next album, &quot;Pizazz&quot;!! Help us put the FUN in FUNK!!"/>
    <n v="18000"/>
    <n v="21884.69"/>
    <x v="0"/>
    <x v="0"/>
    <x v="0"/>
    <n v="1486702800"/>
    <n v="1484058261"/>
    <b v="0"/>
    <x v="158"/>
    <b v="1"/>
    <x v="11"/>
    <x v="1677"/>
    <n v="19942.345000000001"/>
    <x v="4"/>
    <x v="11"/>
  </r>
  <r>
    <x v="2169"/>
    <x v="2169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x v="63"/>
    <b v="1"/>
    <x v="11"/>
    <x v="31"/>
    <n v="153"/>
    <x v="4"/>
    <x v="11"/>
  </r>
  <r>
    <x v="2170"/>
    <x v="2170"/>
    <s v="We are a hard rock band from Northern California trying to raise $350 for our next EP. Be a part of our journey!"/>
    <n v="350"/>
    <n v="633"/>
    <x v="0"/>
    <x v="0"/>
    <x v="0"/>
    <n v="1440266422"/>
    <n v="1436810422"/>
    <b v="0"/>
    <x v="10"/>
    <b v="1"/>
    <x v="11"/>
    <x v="1678"/>
    <n v="491.5"/>
    <x v="4"/>
    <x v="11"/>
  </r>
  <r>
    <x v="2171"/>
    <x v="2171"/>
    <s v="Like records? We do, too! Help this Los Angeles based rock 'n' roll band get their new album out on vinyl!"/>
    <n v="4000"/>
    <n v="4243"/>
    <x v="0"/>
    <x v="0"/>
    <x v="0"/>
    <n v="1434949200"/>
    <n v="1431903495"/>
    <b v="0"/>
    <x v="5"/>
    <b v="1"/>
    <x v="11"/>
    <x v="1679"/>
    <n v="4121.5"/>
    <x v="4"/>
    <x v="11"/>
  </r>
  <r>
    <x v="2172"/>
    <x v="2172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x v="62"/>
    <b v="1"/>
    <x v="11"/>
    <x v="31"/>
    <n v="1000"/>
    <x v="4"/>
    <x v="11"/>
  </r>
  <r>
    <x v="2173"/>
    <x v="2173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x v="240"/>
    <b v="1"/>
    <x v="11"/>
    <x v="1680"/>
    <n v="4765.5"/>
    <x v="4"/>
    <x v="11"/>
  </r>
  <r>
    <x v="2174"/>
    <x v="2174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x v="287"/>
    <b v="1"/>
    <x v="11"/>
    <x v="1681"/>
    <n v="4059.5"/>
    <x v="4"/>
    <x v="11"/>
  </r>
  <r>
    <x v="2175"/>
    <x v="2175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x v="55"/>
    <b v="1"/>
    <x v="11"/>
    <x v="1682"/>
    <n v="1225"/>
    <x v="4"/>
    <x v="11"/>
  </r>
  <r>
    <x v="2176"/>
    <x v="2176"/>
    <s v="The Mike Farley Band has re-assembled its original line up and needs your help to make a new full-length album!"/>
    <n v="5000"/>
    <n v="6301"/>
    <x v="0"/>
    <x v="0"/>
    <x v="0"/>
    <n v="1430579509"/>
    <n v="1427987509"/>
    <b v="0"/>
    <x v="26"/>
    <b v="1"/>
    <x v="11"/>
    <x v="1683"/>
    <n v="5650.5"/>
    <x v="4"/>
    <x v="11"/>
  </r>
  <r>
    <x v="2177"/>
    <x v="2177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x v="44"/>
    <b v="1"/>
    <x v="11"/>
    <x v="1684"/>
    <n v="2501.5"/>
    <x v="4"/>
    <x v="11"/>
  </r>
  <r>
    <x v="2178"/>
    <x v="2178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x v="410"/>
    <b v="1"/>
    <x v="11"/>
    <x v="1675"/>
    <n v="29830"/>
    <x v="4"/>
    <x v="11"/>
  </r>
  <r>
    <x v="2179"/>
    <x v="2179"/>
    <s v="Woodhouse is making an EP!  If you are a fan of whiskey and loud guitars, contribute to the cause!"/>
    <n v="1000"/>
    <n v="1614"/>
    <x v="0"/>
    <x v="0"/>
    <x v="0"/>
    <n v="1428725192"/>
    <n v="1426133192"/>
    <b v="0"/>
    <x v="64"/>
    <b v="1"/>
    <x v="11"/>
    <x v="1685"/>
    <n v="1307"/>
    <x v="4"/>
    <x v="11"/>
  </r>
  <r>
    <x v="2180"/>
    <x v="2180"/>
    <s v="Help fund the new record by independent alternative rockers FOUR STAR MARY &quot;PIECES&quot;"/>
    <n v="5000"/>
    <n v="5359.21"/>
    <x v="0"/>
    <x v="0"/>
    <x v="0"/>
    <n v="1447434268"/>
    <n v="1443801868"/>
    <b v="0"/>
    <x v="76"/>
    <b v="1"/>
    <x v="11"/>
    <x v="1686"/>
    <n v="5179.6049999999996"/>
    <x v="4"/>
    <x v="11"/>
  </r>
  <r>
    <x v="2181"/>
    <x v="2181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x v="28"/>
    <b v="1"/>
    <x v="32"/>
    <x v="1687"/>
    <n v="2531"/>
    <x v="6"/>
    <x v="32"/>
  </r>
  <r>
    <x v="2182"/>
    <x v="2182"/>
    <s v="An incredibly comprehensive tabletop rpg book for the post apocalypse, inspired by Dungeon World."/>
    <n v="3000"/>
    <n v="15725"/>
    <x v="0"/>
    <x v="5"/>
    <x v="5"/>
    <n v="1412285825"/>
    <n v="1409261825"/>
    <b v="0"/>
    <x v="289"/>
    <b v="1"/>
    <x v="32"/>
    <x v="1688"/>
    <n v="9362.5"/>
    <x v="6"/>
    <x v="32"/>
  </r>
  <r>
    <x v="2183"/>
    <x v="2183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x v="411"/>
    <b v="1"/>
    <x v="32"/>
    <x v="1689"/>
    <n v="5303.5"/>
    <x v="6"/>
    <x v="32"/>
  </r>
  <r>
    <x v="2184"/>
    <x v="2184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x v="161"/>
    <b v="1"/>
    <x v="32"/>
    <x v="1690"/>
    <n v="19237"/>
    <x v="6"/>
    <x v="32"/>
  </r>
  <r>
    <x v="2185"/>
    <x v="2185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x v="412"/>
    <b v="1"/>
    <x v="32"/>
    <x v="1691"/>
    <n v="48924.25"/>
    <x v="6"/>
    <x v="32"/>
  </r>
  <r>
    <x v="2186"/>
    <x v="2186"/>
    <s v="The real-time digital social deduction game where there's no moderator, no sleeping, and no dying."/>
    <n v="20000"/>
    <n v="21935"/>
    <x v="0"/>
    <x v="0"/>
    <x v="0"/>
    <n v="1473213600"/>
    <n v="1470062743"/>
    <b v="0"/>
    <x v="413"/>
    <b v="1"/>
    <x v="32"/>
    <x v="1692"/>
    <n v="20967.5"/>
    <x v="6"/>
    <x v="32"/>
  </r>
  <r>
    <x v="2187"/>
    <x v="2187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x v="414"/>
    <b v="1"/>
    <x v="32"/>
    <x v="1693"/>
    <n v="111464.25"/>
    <x v="6"/>
    <x v="32"/>
  </r>
  <r>
    <x v="2188"/>
    <x v="2188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x v="415"/>
    <b v="1"/>
    <x v="32"/>
    <x v="1694"/>
    <n v="14069.5"/>
    <x v="6"/>
    <x v="32"/>
  </r>
  <r>
    <x v="2189"/>
    <x v="2189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x v="106"/>
    <b v="1"/>
    <x v="32"/>
    <x v="1695"/>
    <n v="3619.5"/>
    <x v="6"/>
    <x v="32"/>
  </r>
  <r>
    <x v="2190"/>
    <x v="2190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x v="416"/>
    <b v="1"/>
    <x v="32"/>
    <x v="1696"/>
    <n v="27038"/>
    <x v="6"/>
    <x v="32"/>
  </r>
  <r>
    <x v="2191"/>
    <x v="2191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x v="20"/>
    <b v="1"/>
    <x v="32"/>
    <x v="1697"/>
    <n v="824"/>
    <x v="6"/>
    <x v="32"/>
  </r>
  <r>
    <x v="2192"/>
    <x v="2192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x v="417"/>
    <b v="1"/>
    <x v="32"/>
    <x v="1698"/>
    <n v="70874.41"/>
    <x v="6"/>
    <x v="32"/>
  </r>
  <r>
    <x v="2193"/>
    <x v="2193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x v="418"/>
    <b v="1"/>
    <x v="32"/>
    <x v="1699"/>
    <n v="41428"/>
    <x v="6"/>
    <x v="32"/>
  </r>
  <r>
    <x v="2194"/>
    <x v="2194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x v="419"/>
    <b v="1"/>
    <x v="32"/>
    <x v="1700"/>
    <n v="31868.5"/>
    <x v="6"/>
    <x v="32"/>
  </r>
  <r>
    <x v="2195"/>
    <x v="2195"/>
    <s v="A gritty, noir tabletop RPG with a fast-paced combo-based battle system."/>
    <n v="4600"/>
    <n v="5535"/>
    <x v="0"/>
    <x v="0"/>
    <x v="0"/>
    <n v="1439317900"/>
    <n v="1436725900"/>
    <b v="0"/>
    <x v="248"/>
    <b v="1"/>
    <x v="32"/>
    <x v="1187"/>
    <n v="5067.5"/>
    <x v="6"/>
    <x v="32"/>
  </r>
  <r>
    <x v="2196"/>
    <x v="2196"/>
    <s v="Race your friends in style with this classic Grand Prix game."/>
    <n v="14000"/>
    <n v="15937"/>
    <x v="0"/>
    <x v="0"/>
    <x v="0"/>
    <n v="1480662000"/>
    <n v="1478000502"/>
    <b v="0"/>
    <x v="302"/>
    <b v="1"/>
    <x v="32"/>
    <x v="1701"/>
    <n v="14968.5"/>
    <x v="6"/>
    <x v="32"/>
  </r>
  <r>
    <x v="2197"/>
    <x v="2197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x v="420"/>
    <b v="1"/>
    <x v="32"/>
    <x v="1702"/>
    <n v="157654.66500000001"/>
    <x v="6"/>
    <x v="32"/>
  </r>
  <r>
    <x v="2198"/>
    <x v="2198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x v="421"/>
    <b v="1"/>
    <x v="32"/>
    <x v="1703"/>
    <n v="46578.5"/>
    <x v="6"/>
    <x v="32"/>
  </r>
  <r>
    <x v="2199"/>
    <x v="2199"/>
    <s v="A new strategic board game designed to flip out your opponent."/>
    <n v="9000"/>
    <n v="13228"/>
    <x v="0"/>
    <x v="17"/>
    <x v="3"/>
    <n v="1444903198"/>
    <n v="1442311198"/>
    <b v="1"/>
    <x v="140"/>
    <b v="1"/>
    <x v="32"/>
    <x v="1704"/>
    <n v="11114"/>
    <x v="6"/>
    <x v="32"/>
  </r>
  <r>
    <x v="2200"/>
    <x v="2200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x v="40"/>
    <b v="1"/>
    <x v="32"/>
    <x v="1705"/>
    <n v="6421.5"/>
    <x v="6"/>
    <x v="32"/>
  </r>
  <r>
    <x v="2201"/>
    <x v="2201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x v="33"/>
    <b v="1"/>
    <x v="15"/>
    <x v="1706"/>
    <n v="265.495"/>
    <x v="4"/>
    <x v="15"/>
  </r>
  <r>
    <x v="2202"/>
    <x v="2202"/>
    <s v="An electro-organic album of evolved dance music inspired by seminal cyberpunk works."/>
    <n v="4000"/>
    <n v="28167.25"/>
    <x v="0"/>
    <x v="0"/>
    <x v="0"/>
    <n v="1351801368"/>
    <n v="1349209368"/>
    <b v="0"/>
    <x v="422"/>
    <b v="1"/>
    <x v="15"/>
    <x v="1707"/>
    <n v="16083.625"/>
    <x v="4"/>
    <x v="15"/>
  </r>
  <r>
    <x v="2203"/>
    <x v="2203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x v="133"/>
    <b v="1"/>
    <x v="15"/>
    <x v="1708"/>
    <n v="2095.5"/>
    <x v="4"/>
    <x v="15"/>
  </r>
  <r>
    <x v="2204"/>
    <x v="2204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x v="196"/>
    <b v="1"/>
    <x v="15"/>
    <x v="1709"/>
    <n v="1746.5"/>
    <x v="4"/>
    <x v="15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x v="74"/>
    <b v="1"/>
    <x v="15"/>
    <x v="1710"/>
    <n v="945"/>
    <x v="4"/>
    <x v="15"/>
  </r>
  <r>
    <x v="2206"/>
    <x v="2206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x v="69"/>
    <b v="1"/>
    <x v="15"/>
    <x v="1711"/>
    <n v="1115"/>
    <x v="4"/>
    <x v="15"/>
  </r>
  <r>
    <x v="2207"/>
    <x v="2207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x v="63"/>
    <b v="1"/>
    <x v="15"/>
    <x v="31"/>
    <n v="2000"/>
    <x v="4"/>
    <x v="15"/>
  </r>
  <r>
    <x v="2208"/>
    <x v="2208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x v="54"/>
    <b v="1"/>
    <x v="15"/>
    <x v="264"/>
    <n v="1008"/>
    <x v="4"/>
    <x v="15"/>
  </r>
  <r>
    <x v="2209"/>
    <x v="2209"/>
    <s v="Support us and pledge for rewards on our new bigger Tour of the US, Canada and Colombia!"/>
    <n v="500"/>
    <n v="754"/>
    <x v="0"/>
    <x v="1"/>
    <x v="1"/>
    <n v="1397516400"/>
    <n v="1396524644"/>
    <b v="0"/>
    <x v="41"/>
    <b v="1"/>
    <x v="15"/>
    <x v="1712"/>
    <n v="627"/>
    <x v="4"/>
    <x v="15"/>
  </r>
  <r>
    <x v="2210"/>
    <x v="2210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x v="250"/>
    <b v="1"/>
    <x v="15"/>
    <x v="1713"/>
    <n v="4228.5"/>
    <x v="4"/>
    <x v="15"/>
  </r>
  <r>
    <x v="2211"/>
    <x v="2211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x v="148"/>
    <b v="1"/>
    <x v="15"/>
    <x v="1714"/>
    <n v="3695"/>
    <x v="4"/>
    <x v="15"/>
  </r>
  <r>
    <x v="2212"/>
    <x v="2212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x v="252"/>
    <b v="1"/>
    <x v="15"/>
    <x v="1715"/>
    <n v="6431.5"/>
    <x v="4"/>
    <x v="15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x v="29"/>
    <b v="1"/>
    <x v="15"/>
    <x v="1716"/>
    <n v="7.5"/>
    <x v="4"/>
    <x v="15"/>
  </r>
  <r>
    <x v="2214"/>
    <x v="2214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x v="54"/>
    <b v="1"/>
    <x v="15"/>
    <x v="1717"/>
    <n v="1177.5050000000001"/>
    <x v="4"/>
    <x v="15"/>
  </r>
  <r>
    <x v="2215"/>
    <x v="2215"/>
    <s v="Ambient Electro Grind-fest!"/>
    <n v="550"/>
    <n v="860"/>
    <x v="0"/>
    <x v="0"/>
    <x v="0"/>
    <n v="1331621940"/>
    <n v="1329671572"/>
    <b v="0"/>
    <x v="51"/>
    <b v="1"/>
    <x v="15"/>
    <x v="1718"/>
    <n v="705"/>
    <x v="4"/>
    <x v="15"/>
  </r>
  <r>
    <x v="2216"/>
    <x v="2216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x v="25"/>
    <b v="1"/>
    <x v="15"/>
    <x v="1719"/>
    <n v="308.5"/>
    <x v="4"/>
    <x v="15"/>
  </r>
  <r>
    <x v="2217"/>
    <x v="2217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x v="82"/>
    <b v="1"/>
    <x v="15"/>
    <x v="1720"/>
    <n v="422.5"/>
    <x v="4"/>
    <x v="15"/>
  </r>
  <r>
    <x v="2218"/>
    <x v="2218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x v="88"/>
    <b v="1"/>
    <x v="15"/>
    <x v="1721"/>
    <n v="2228.33"/>
    <x v="4"/>
    <x v="15"/>
  </r>
  <r>
    <x v="2219"/>
    <x v="2219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x v="10"/>
    <b v="1"/>
    <x v="15"/>
    <x v="1240"/>
    <n v="1007.5"/>
    <x v="4"/>
    <x v="15"/>
  </r>
  <r>
    <x v="2220"/>
    <x v="2220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x v="50"/>
    <b v="1"/>
    <x v="15"/>
    <x v="1722"/>
    <n v="3520"/>
    <x v="4"/>
    <x v="15"/>
  </r>
  <r>
    <x v="2221"/>
    <x v="2221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x v="423"/>
    <b v="1"/>
    <x v="32"/>
    <x v="1723"/>
    <n v="7804.5"/>
    <x v="6"/>
    <x v="32"/>
  </r>
  <r>
    <x v="2222"/>
    <x v="2222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x v="209"/>
    <b v="1"/>
    <x v="32"/>
    <x v="1724"/>
    <n v="656.5"/>
    <x v="6"/>
    <x v="32"/>
  </r>
  <r>
    <x v="2223"/>
    <x v="2223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x v="61"/>
    <b v="1"/>
    <x v="32"/>
    <x v="1725"/>
    <n v="20065.5"/>
    <x v="6"/>
    <x v="32"/>
  </r>
  <r>
    <x v="2224"/>
    <x v="2224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x v="228"/>
    <b v="1"/>
    <x v="32"/>
    <x v="1726"/>
    <n v="17157.5"/>
    <x v="6"/>
    <x v="32"/>
  </r>
  <r>
    <x v="2225"/>
    <x v="2225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x v="424"/>
    <b v="1"/>
    <x v="32"/>
    <x v="1727"/>
    <n v="109707.505"/>
    <x v="6"/>
    <x v="32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x v="306"/>
    <b v="1"/>
    <x v="32"/>
    <x v="1728"/>
    <n v="18761.654999999999"/>
    <x v="6"/>
    <x v="32"/>
  </r>
  <r>
    <x v="2227"/>
    <x v="2227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x v="425"/>
    <b v="1"/>
    <x v="32"/>
    <x v="1729"/>
    <n v="16729.5"/>
    <x v="6"/>
    <x v="32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x v="296"/>
    <b v="1"/>
    <x v="32"/>
    <x v="1730"/>
    <n v="6372.45"/>
    <x v="6"/>
    <x v="32"/>
  </r>
  <r>
    <x v="2229"/>
    <x v="2229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x v="380"/>
    <b v="1"/>
    <x v="32"/>
    <x v="1731"/>
    <n v="10858.165000000001"/>
    <x v="6"/>
    <x v="32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x v="156"/>
    <b v="1"/>
    <x v="32"/>
    <x v="1732"/>
    <n v="9603"/>
    <x v="6"/>
    <x v="32"/>
  </r>
  <r>
    <x v="2231"/>
    <x v="2231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x v="426"/>
    <b v="1"/>
    <x v="32"/>
    <x v="1733"/>
    <n v="16401.620000000003"/>
    <x v="6"/>
    <x v="32"/>
  </r>
  <r>
    <x v="2232"/>
    <x v="2232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x v="427"/>
    <b v="1"/>
    <x v="32"/>
    <x v="1734"/>
    <n v="14895"/>
    <x v="6"/>
    <x v="32"/>
  </r>
  <r>
    <x v="2233"/>
    <x v="2233"/>
    <s v="Cadaver is a lighthearted game of friendly necromancy! Players compete to resurrect as many bodies as possible!"/>
    <n v="2500"/>
    <n v="8301"/>
    <x v="0"/>
    <x v="1"/>
    <x v="1"/>
    <n v="1450051200"/>
    <n v="1448269539"/>
    <b v="0"/>
    <x v="428"/>
    <b v="1"/>
    <x v="32"/>
    <x v="1735"/>
    <n v="5400.5"/>
    <x v="6"/>
    <x v="32"/>
  </r>
  <r>
    <x v="2234"/>
    <x v="2234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x v="33"/>
    <b v="1"/>
    <x v="32"/>
    <x v="1736"/>
    <n v="632.5"/>
    <x v="6"/>
    <x v="32"/>
  </r>
  <r>
    <x v="2235"/>
    <x v="2235"/>
    <s v="An amazing set of sceneries to create unique atmospheres for your tabletop gaming."/>
    <n v="13000"/>
    <n v="19931"/>
    <x v="0"/>
    <x v="5"/>
    <x v="5"/>
    <n v="1427585511"/>
    <n v="1424997111"/>
    <b v="0"/>
    <x v="206"/>
    <b v="1"/>
    <x v="32"/>
    <x v="1737"/>
    <n v="16465.5"/>
    <x v="6"/>
    <x v="32"/>
  </r>
  <r>
    <x v="2236"/>
    <x v="2236"/>
    <s v="Assume the role of an intergalactic real-estate agent attempting to satisfy various creature clientele!"/>
    <n v="2800"/>
    <n v="15039"/>
    <x v="0"/>
    <x v="0"/>
    <x v="0"/>
    <n v="1454338123"/>
    <n v="1451746123"/>
    <b v="0"/>
    <x v="340"/>
    <b v="1"/>
    <x v="32"/>
    <x v="1738"/>
    <n v="8919.5"/>
    <x v="6"/>
    <x v="32"/>
  </r>
  <r>
    <x v="2237"/>
    <x v="2237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x v="429"/>
    <b v="1"/>
    <x v="32"/>
    <x v="1739"/>
    <n v="40763.5"/>
    <x v="6"/>
    <x v="32"/>
  </r>
  <r>
    <x v="2238"/>
    <x v="2238"/>
    <s v="28mm Fantasy Miniature Range in leadfree white metal: Orcs, wolves and more."/>
    <n v="4000"/>
    <n v="5496"/>
    <x v="0"/>
    <x v="12"/>
    <x v="3"/>
    <n v="1489157716"/>
    <n v="1486565716"/>
    <b v="0"/>
    <x v="1"/>
    <b v="1"/>
    <x v="32"/>
    <x v="1740"/>
    <n v="4748"/>
    <x v="6"/>
    <x v="32"/>
  </r>
  <r>
    <x v="2239"/>
    <x v="2239"/>
    <s v="Next stretch goal unlocks at $33,000 and/or 500 backers unlocks 2 bonus stretch goals."/>
    <n v="25000"/>
    <n v="32006.67"/>
    <x v="0"/>
    <x v="0"/>
    <x v="0"/>
    <n v="1385870520"/>
    <n v="1382742014"/>
    <b v="0"/>
    <x v="374"/>
    <b v="1"/>
    <x v="32"/>
    <x v="1741"/>
    <n v="28503.334999999999"/>
    <x v="6"/>
    <x v="32"/>
  </r>
  <r>
    <x v="2240"/>
    <x v="2240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x v="93"/>
    <b v="1"/>
    <x v="32"/>
    <x v="1742"/>
    <n v="9267"/>
    <x v="6"/>
    <x v="32"/>
  </r>
  <r>
    <x v="2241"/>
    <x v="2241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x v="430"/>
    <b v="1"/>
    <x v="32"/>
    <x v="1743"/>
    <n v="4532"/>
    <x v="6"/>
    <x v="32"/>
  </r>
  <r>
    <x v="2242"/>
    <x v="2242"/>
    <s v="Inconceivable! An amazing new illustrative deck based on The Princess Bride movie."/>
    <n v="10000"/>
    <n v="136009.76"/>
    <x v="0"/>
    <x v="0"/>
    <x v="0"/>
    <n v="1385521320"/>
    <n v="1382449733"/>
    <b v="0"/>
    <x v="431"/>
    <b v="1"/>
    <x v="32"/>
    <x v="1744"/>
    <n v="73004.88"/>
    <x v="6"/>
    <x v="32"/>
  </r>
  <r>
    <x v="2243"/>
    <x v="2243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x v="432"/>
    <b v="1"/>
    <x v="32"/>
    <x v="1745"/>
    <n v="4651.75"/>
    <x v="6"/>
    <x v="32"/>
  </r>
  <r>
    <x v="2244"/>
    <x v="2244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x v="126"/>
    <b v="1"/>
    <x v="32"/>
    <x v="1746"/>
    <n v="11925.5"/>
    <x v="6"/>
    <x v="32"/>
  </r>
  <r>
    <x v="2245"/>
    <x v="2245"/>
    <s v="You've got a time machine, high-powered weapons and a whole lot of history to save. Welcome to TimeWatch!"/>
    <n v="4000"/>
    <n v="105881"/>
    <x v="0"/>
    <x v="0"/>
    <x v="0"/>
    <n v="1393005600"/>
    <n v="1390323617"/>
    <b v="0"/>
    <x v="433"/>
    <b v="1"/>
    <x v="32"/>
    <x v="1747"/>
    <n v="54940.5"/>
    <x v="6"/>
    <x v="32"/>
  </r>
  <r>
    <x v="2246"/>
    <x v="2246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x v="7"/>
    <b v="1"/>
    <x v="32"/>
    <x v="1684"/>
    <n v="2501.5"/>
    <x v="6"/>
    <x v="32"/>
  </r>
  <r>
    <x v="2247"/>
    <x v="2247"/>
    <s v="Take on the role of an ancient forager in this fun strategy game from the designer of Biblios."/>
    <n v="18500"/>
    <n v="19324"/>
    <x v="0"/>
    <x v="0"/>
    <x v="0"/>
    <n v="1438185565"/>
    <n v="1436975965"/>
    <b v="0"/>
    <x v="434"/>
    <b v="1"/>
    <x v="32"/>
    <x v="1748"/>
    <n v="18912"/>
    <x v="6"/>
    <x v="32"/>
  </r>
  <r>
    <x v="2248"/>
    <x v="2248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x v="130"/>
    <b v="1"/>
    <x v="32"/>
    <x v="1749"/>
    <n v="7252.5"/>
    <x v="6"/>
    <x v="32"/>
  </r>
  <r>
    <x v="2249"/>
    <x v="2249"/>
    <s v="March with the legions against the enemies of Rome in this role-playing game of military adventures."/>
    <n v="3500"/>
    <n v="5907"/>
    <x v="0"/>
    <x v="0"/>
    <x v="0"/>
    <n v="1364917965"/>
    <n v="1362329565"/>
    <b v="0"/>
    <x v="387"/>
    <b v="1"/>
    <x v="32"/>
    <x v="1750"/>
    <n v="4703.5"/>
    <x v="6"/>
    <x v="32"/>
  </r>
  <r>
    <x v="2250"/>
    <x v="2250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x v="435"/>
    <b v="1"/>
    <x v="32"/>
    <x v="1751"/>
    <n v="134389"/>
    <x v="6"/>
    <x v="32"/>
  </r>
  <r>
    <x v="2251"/>
    <x v="2251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x v="436"/>
    <b v="1"/>
    <x v="32"/>
    <x v="1752"/>
    <n v="9964.0950000000012"/>
    <x v="6"/>
    <x v="32"/>
  </r>
  <r>
    <x v="2252"/>
    <x v="2252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x v="437"/>
    <b v="1"/>
    <x v="32"/>
    <x v="1753"/>
    <n v="16752.5"/>
    <x v="6"/>
    <x v="32"/>
  </r>
  <r>
    <x v="2253"/>
    <x v="2253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x v="87"/>
    <b v="1"/>
    <x v="32"/>
    <x v="1754"/>
    <n v="8507.5"/>
    <x v="6"/>
    <x v="32"/>
  </r>
  <r>
    <x v="2254"/>
    <x v="2254"/>
    <s v="A dexterity microgame by father/daughter team, Jason and Claire Kotarski. Make 100 project."/>
    <n v="500"/>
    <n v="2299"/>
    <x v="0"/>
    <x v="0"/>
    <x v="0"/>
    <n v="1485271968"/>
    <n v="1484667168"/>
    <b v="0"/>
    <x v="438"/>
    <b v="1"/>
    <x v="32"/>
    <x v="1755"/>
    <n v="1399.5"/>
    <x v="6"/>
    <x v="32"/>
  </r>
  <r>
    <x v="2255"/>
    <x v="2255"/>
    <s v="This is the second set of 5 expansions for our route-building game, Jet Set!"/>
    <n v="3950"/>
    <n v="11323"/>
    <x v="0"/>
    <x v="0"/>
    <x v="0"/>
    <n v="1462661451"/>
    <n v="1460069451"/>
    <b v="0"/>
    <x v="197"/>
    <b v="1"/>
    <x v="32"/>
    <x v="1756"/>
    <n v="7636.5"/>
    <x v="6"/>
    <x v="32"/>
  </r>
  <r>
    <x v="2256"/>
    <x v="2256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x v="133"/>
    <b v="1"/>
    <x v="32"/>
    <x v="1757"/>
    <n v="774.5"/>
    <x v="6"/>
    <x v="32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x v="39"/>
    <b v="1"/>
    <x v="32"/>
    <x v="1758"/>
    <n v="9201.75"/>
    <x v="6"/>
    <x v="32"/>
  </r>
  <r>
    <x v="2258"/>
    <x v="2258"/>
    <s v="A Dungeon World campaign setting that takes place after the end of the worlds."/>
    <n v="2200"/>
    <n v="3223"/>
    <x v="0"/>
    <x v="0"/>
    <x v="0"/>
    <n v="1434045687"/>
    <n v="1431453687"/>
    <b v="0"/>
    <x v="242"/>
    <b v="1"/>
    <x v="32"/>
    <x v="1759"/>
    <n v="2711.5"/>
    <x v="6"/>
    <x v="32"/>
  </r>
  <r>
    <x v="2259"/>
    <x v="2259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x v="190"/>
    <b v="1"/>
    <x v="32"/>
    <x v="1760"/>
    <n v="9835.5"/>
    <x v="6"/>
    <x v="32"/>
  </r>
  <r>
    <x v="2260"/>
    <x v="2260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x v="87"/>
    <b v="1"/>
    <x v="32"/>
    <x v="1761"/>
    <n v="5336.5"/>
    <x v="6"/>
    <x v="32"/>
  </r>
  <r>
    <x v="2261"/>
    <x v="2261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x v="439"/>
    <b v="1"/>
    <x v="32"/>
    <x v="1762"/>
    <n v="4397.5"/>
    <x v="6"/>
    <x v="32"/>
  </r>
  <r>
    <x v="2262"/>
    <x v="2262"/>
    <s v="An RPG about mortal servants of the Horsemen of the Apocalypse deciding to not end the world."/>
    <n v="3300"/>
    <n v="5087"/>
    <x v="0"/>
    <x v="0"/>
    <x v="0"/>
    <n v="1416268800"/>
    <n v="1413295358"/>
    <b v="0"/>
    <x v="331"/>
    <b v="1"/>
    <x v="32"/>
    <x v="1763"/>
    <n v="4193.5"/>
    <x v="6"/>
    <x v="32"/>
  </r>
  <r>
    <x v="2263"/>
    <x v="2263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x v="65"/>
    <b v="1"/>
    <x v="32"/>
    <x v="1764"/>
    <n v="8083"/>
    <x v="6"/>
    <x v="32"/>
  </r>
  <r>
    <x v="2264"/>
    <x v="2264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x v="440"/>
    <b v="1"/>
    <x v="32"/>
    <x v="1765"/>
    <n v="8401"/>
    <x v="6"/>
    <x v="32"/>
  </r>
  <r>
    <x v="2265"/>
    <x v="2265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x v="57"/>
    <b v="1"/>
    <x v="32"/>
    <x v="1766"/>
    <n v="398.5"/>
    <x v="6"/>
    <x v="32"/>
  </r>
  <r>
    <x v="2266"/>
    <x v="2266"/>
    <s v="Want to be LORD OF THE GOATS? Start building your herd using thievery, magic, bombs and mostly goats."/>
    <n v="1500"/>
    <n v="4804"/>
    <x v="0"/>
    <x v="0"/>
    <x v="0"/>
    <n v="1461722400"/>
    <n v="1460235592"/>
    <b v="0"/>
    <x v="441"/>
    <b v="1"/>
    <x v="32"/>
    <x v="1767"/>
    <n v="3152"/>
    <x v="6"/>
    <x v="32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x v="442"/>
    <b v="1"/>
    <x v="32"/>
    <x v="1768"/>
    <n v="48052.5"/>
    <x v="6"/>
    <x v="32"/>
  </r>
  <r>
    <x v="2268"/>
    <x v="2268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x v="441"/>
    <b v="1"/>
    <x v="32"/>
    <x v="946"/>
    <n v="28364"/>
    <x v="6"/>
    <x v="32"/>
  </r>
  <r>
    <x v="2269"/>
    <x v="2269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x v="443"/>
    <b v="1"/>
    <x v="32"/>
    <x v="1769"/>
    <n v="23770.5"/>
    <x v="6"/>
    <x v="32"/>
  </r>
  <r>
    <x v="2270"/>
    <x v="2270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x v="444"/>
    <b v="1"/>
    <x v="32"/>
    <x v="1770"/>
    <n v="102531"/>
    <x v="6"/>
    <x v="32"/>
  </r>
  <r>
    <x v="2271"/>
    <x v="2271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x v="445"/>
    <b v="1"/>
    <x v="32"/>
    <x v="1771"/>
    <n v="38309"/>
    <x v="6"/>
    <x v="32"/>
  </r>
  <r>
    <x v="2272"/>
    <x v="2272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x v="446"/>
    <b v="1"/>
    <x v="32"/>
    <x v="1772"/>
    <n v="7283"/>
    <x v="6"/>
    <x v="32"/>
  </r>
  <r>
    <x v="2273"/>
    <x v="2273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x v="206"/>
    <b v="1"/>
    <x v="32"/>
    <x v="1773"/>
    <n v="4004.5"/>
    <x v="6"/>
    <x v="32"/>
  </r>
  <r>
    <x v="2274"/>
    <x v="2274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x v="221"/>
    <b v="1"/>
    <x v="32"/>
    <x v="1774"/>
    <n v="2745"/>
    <x v="6"/>
    <x v="32"/>
  </r>
  <r>
    <x v="2275"/>
    <x v="2275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x v="1"/>
    <b v="1"/>
    <x v="32"/>
    <x v="1775"/>
    <n v="1650.25"/>
    <x v="6"/>
    <x v="32"/>
  </r>
  <r>
    <x v="2276"/>
    <x v="2276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x v="11"/>
    <b v="1"/>
    <x v="32"/>
    <x v="1776"/>
    <n v="4722.5"/>
    <x v="6"/>
    <x v="32"/>
  </r>
  <r>
    <x v="2277"/>
    <x v="2277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x v="447"/>
    <b v="1"/>
    <x v="32"/>
    <x v="1777"/>
    <n v="10246"/>
    <x v="6"/>
    <x v="32"/>
  </r>
  <r>
    <x v="2278"/>
    <x v="2278"/>
    <s v="Dice forged from stone one by one entirely by hand for demanding Gamers and Collectors."/>
    <n v="2000"/>
    <n v="5414"/>
    <x v="0"/>
    <x v="13"/>
    <x v="3"/>
    <n v="1451861940"/>
    <n v="1448902867"/>
    <b v="0"/>
    <x v="332"/>
    <b v="1"/>
    <x v="32"/>
    <x v="1778"/>
    <n v="3707"/>
    <x v="6"/>
    <x v="32"/>
  </r>
  <r>
    <x v="2279"/>
    <x v="2279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x v="58"/>
    <b v="1"/>
    <x v="32"/>
    <x v="1779"/>
    <n v="1269"/>
    <x v="6"/>
    <x v="32"/>
  </r>
  <r>
    <x v="2280"/>
    <x v="2280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x v="436"/>
    <b v="1"/>
    <x v="32"/>
    <x v="1780"/>
    <n v="24675.25"/>
    <x v="6"/>
    <x v="32"/>
  </r>
  <r>
    <x v="2281"/>
    <x v="2281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x v="202"/>
    <b v="1"/>
    <x v="11"/>
    <x v="1781"/>
    <n v="427.5"/>
    <x v="4"/>
    <x v="11"/>
  </r>
  <r>
    <x v="2282"/>
    <x v="2282"/>
    <s v="Sage King is recording his debut album and wants YOU to be a part of the creation process"/>
    <n v="750"/>
    <n v="1390"/>
    <x v="0"/>
    <x v="0"/>
    <x v="0"/>
    <n v="1452744686"/>
    <n v="1447560686"/>
    <b v="0"/>
    <x v="8"/>
    <b v="1"/>
    <x v="11"/>
    <x v="1782"/>
    <n v="1070"/>
    <x v="4"/>
    <x v="11"/>
  </r>
  <r>
    <x v="2283"/>
    <x v="2283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x v="53"/>
    <b v="1"/>
    <x v="11"/>
    <x v="1783"/>
    <n v="3012.83"/>
    <x v="4"/>
    <x v="11"/>
  </r>
  <r>
    <x v="2284"/>
    <x v="2284"/>
    <s v="The Vinyl Skyway reunite to make a third album. "/>
    <n v="6000"/>
    <n v="6373.27"/>
    <x v="0"/>
    <x v="0"/>
    <x v="0"/>
    <n v="1299902400"/>
    <n v="1297451245"/>
    <b v="0"/>
    <x v="211"/>
    <b v="1"/>
    <x v="11"/>
    <x v="1784"/>
    <n v="6186.6350000000002"/>
    <x v="4"/>
    <x v="11"/>
  </r>
  <r>
    <x v="2285"/>
    <x v="2285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x v="1"/>
    <b v="1"/>
    <x v="11"/>
    <x v="1785"/>
    <n v="3320.5"/>
    <x v="4"/>
    <x v="11"/>
  </r>
  <r>
    <x v="2286"/>
    <x v="2286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x v="25"/>
    <b v="1"/>
    <x v="11"/>
    <x v="1395"/>
    <n v="1500.5"/>
    <x v="4"/>
    <x v="11"/>
  </r>
  <r>
    <x v="2287"/>
    <x v="2287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x v="448"/>
    <b v="1"/>
    <x v="11"/>
    <x v="1786"/>
    <n v="4949.4949999999999"/>
    <x v="4"/>
    <x v="11"/>
  </r>
  <r>
    <x v="2288"/>
    <x v="2288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x v="20"/>
    <b v="1"/>
    <x v="11"/>
    <x v="1787"/>
    <n v="1000.5"/>
    <x v="4"/>
    <x v="11"/>
  </r>
  <r>
    <x v="2289"/>
    <x v="2289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x v="20"/>
    <b v="1"/>
    <x v="11"/>
    <x v="202"/>
    <n v="1555.5"/>
    <x v="4"/>
    <x v="11"/>
  </r>
  <r>
    <x v="2290"/>
    <x v="2290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x v="60"/>
    <b v="1"/>
    <x v="11"/>
    <x v="1788"/>
    <n v="1530.5"/>
    <x v="4"/>
    <x v="11"/>
  </r>
  <r>
    <x v="2291"/>
    <x v="2291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x v="68"/>
    <b v="1"/>
    <x v="11"/>
    <x v="1789"/>
    <n v="3410"/>
    <x v="4"/>
    <x v="11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x v="67"/>
    <b v="1"/>
    <x v="11"/>
    <x v="1790"/>
    <n v="2072.5050000000001"/>
    <x v="4"/>
    <x v="11"/>
  </r>
  <r>
    <x v="2293"/>
    <x v="2293"/>
    <s v="Donate here to be a part of the upcoming album. Every little bit helps!"/>
    <n v="850"/>
    <n v="920"/>
    <x v="0"/>
    <x v="0"/>
    <x v="0"/>
    <n v="1348545540"/>
    <n v="1346345999"/>
    <b v="0"/>
    <x v="74"/>
    <b v="1"/>
    <x v="11"/>
    <x v="1791"/>
    <n v="885"/>
    <x v="4"/>
    <x v="11"/>
  </r>
  <r>
    <x v="2294"/>
    <x v="2294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x v="300"/>
    <b v="1"/>
    <x v="11"/>
    <x v="1792"/>
    <n v="6152.02"/>
    <x v="4"/>
    <x v="11"/>
  </r>
  <r>
    <x v="2295"/>
    <x v="2295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x v="69"/>
    <b v="1"/>
    <x v="11"/>
    <x v="1410"/>
    <n v="1351.5"/>
    <x v="4"/>
    <x v="11"/>
  </r>
  <r>
    <x v="2296"/>
    <x v="2296"/>
    <s v="Ed Hamell AKA Hamell on Trial is recording an album titled The Happiest Man in the World. He needs your help."/>
    <n v="7000"/>
    <n v="10435"/>
    <x v="0"/>
    <x v="0"/>
    <x v="0"/>
    <n v="1330018426"/>
    <n v="1326994426"/>
    <b v="0"/>
    <x v="108"/>
    <b v="1"/>
    <x v="11"/>
    <x v="1793"/>
    <n v="8717.5"/>
    <x v="4"/>
    <x v="11"/>
  </r>
  <r>
    <x v="2297"/>
    <x v="2297"/>
    <s v="New Jersey Alternative Rock band COCO needs YOUR help self-releasing debut EP!"/>
    <n v="1000"/>
    <n v="1006"/>
    <x v="0"/>
    <x v="0"/>
    <x v="0"/>
    <n v="1331697540"/>
    <n v="1328749249"/>
    <b v="0"/>
    <x v="10"/>
    <b v="1"/>
    <x v="11"/>
    <x v="1794"/>
    <n v="1003"/>
    <x v="4"/>
    <x v="11"/>
  </r>
  <r>
    <x v="2298"/>
    <x v="2298"/>
    <s v="My name is Jonny Gray, and my friends and I are working together to raise funds for my debut album"/>
    <n v="30000"/>
    <n v="31522"/>
    <x v="0"/>
    <x v="0"/>
    <x v="0"/>
    <n v="1395861033"/>
    <n v="1393272633"/>
    <b v="0"/>
    <x v="449"/>
    <b v="1"/>
    <x v="11"/>
    <x v="1795"/>
    <n v="30761"/>
    <x v="4"/>
    <x v="11"/>
  </r>
  <r>
    <x v="2299"/>
    <x v="2299"/>
    <s v="Fly Radio has finished tracking their album now all that is left is the mixing/mastering and duplication!"/>
    <n v="300"/>
    <n v="1050.5"/>
    <x v="0"/>
    <x v="0"/>
    <x v="0"/>
    <n v="1296953209"/>
    <n v="1295657209"/>
    <b v="0"/>
    <x v="25"/>
    <b v="1"/>
    <x v="11"/>
    <x v="1796"/>
    <n v="675.25"/>
    <x v="4"/>
    <x v="11"/>
  </r>
  <r>
    <x v="2300"/>
    <x v="2300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x v="63"/>
    <b v="1"/>
    <x v="11"/>
    <x v="982"/>
    <n v="805"/>
    <x v="4"/>
    <x v="11"/>
  </r>
  <r>
    <x v="2301"/>
    <x v="2301"/>
    <s v="We are America's first trock band, and we're ready to bring you our first album!"/>
    <n v="5000"/>
    <n v="6680.22"/>
    <x v="0"/>
    <x v="0"/>
    <x v="0"/>
    <n v="1371785496"/>
    <n v="1369193496"/>
    <b v="1"/>
    <x v="263"/>
    <b v="1"/>
    <x v="14"/>
    <x v="1797"/>
    <n v="5840.1100000000006"/>
    <x v="4"/>
    <x v="14"/>
  </r>
  <r>
    <x v="2302"/>
    <x v="2302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x v="268"/>
    <b v="1"/>
    <x v="14"/>
    <x v="1798"/>
    <n v="3112.5"/>
    <x v="4"/>
    <x v="14"/>
  </r>
  <r>
    <x v="2303"/>
    <x v="2303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x v="273"/>
    <b v="1"/>
    <x v="14"/>
    <x v="1799"/>
    <n v="6751.8050000000003"/>
    <x v="4"/>
    <x v="14"/>
  </r>
  <r>
    <x v="2304"/>
    <x v="2304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x v="116"/>
    <b v="1"/>
    <x v="14"/>
    <x v="1800"/>
    <n v="6021.01"/>
    <x v="4"/>
    <x v="14"/>
  </r>
  <r>
    <x v="2305"/>
    <x v="2305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x v="157"/>
    <b v="1"/>
    <x v="14"/>
    <x v="1801"/>
    <n v="18110.5"/>
    <x v="4"/>
    <x v="14"/>
  </r>
  <r>
    <x v="2306"/>
    <x v="2306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x v="196"/>
    <b v="1"/>
    <x v="14"/>
    <x v="1802"/>
    <n v="3618.2750000000001"/>
    <x v="4"/>
    <x v="14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x v="11"/>
    <b v="1"/>
    <x v="14"/>
    <x v="1803"/>
    <n v="2029.8650000000002"/>
    <x v="4"/>
    <x v="14"/>
  </r>
  <r>
    <x v="2308"/>
    <x v="2308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x v="450"/>
    <b v="1"/>
    <x v="14"/>
    <x v="1804"/>
    <n v="50326.555"/>
    <x v="4"/>
    <x v="14"/>
  </r>
  <r>
    <x v="2309"/>
    <x v="2309"/>
    <s v="|| HELP MARNY LION PROUDFIT RECORD HER SECOND INDIE FOLK ALBUM THIS MARCH â€“ THE BARN IS WAITING ||"/>
    <n v="6000"/>
    <n v="6400.47"/>
    <x v="0"/>
    <x v="0"/>
    <x v="0"/>
    <n v="1362872537"/>
    <n v="1359848537"/>
    <b v="1"/>
    <x v="329"/>
    <b v="1"/>
    <x v="14"/>
    <x v="1805"/>
    <n v="6200.2350000000006"/>
    <x v="4"/>
    <x v="14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x v="451"/>
    <b v="1"/>
    <x v="14"/>
    <x v="1806"/>
    <n v="48917.68"/>
    <x v="4"/>
    <x v="14"/>
  </r>
  <r>
    <x v="2311"/>
    <x v="2311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x v="201"/>
    <b v="1"/>
    <x v="14"/>
    <x v="1807"/>
    <n v="9185"/>
    <x v="4"/>
    <x v="14"/>
  </r>
  <r>
    <x v="2312"/>
    <x v="2312"/>
    <s v="Help Brooklyn psychedelic synth rockers DINOWALRUS release their 3rd Record, COMPLEXION, on vinyl!"/>
    <n v="3000"/>
    <n v="3236"/>
    <x v="0"/>
    <x v="0"/>
    <x v="0"/>
    <n v="1397862000"/>
    <n v="1395155478"/>
    <b v="1"/>
    <x v="1"/>
    <b v="1"/>
    <x v="14"/>
    <x v="1808"/>
    <n v="3118"/>
    <x v="4"/>
    <x v="14"/>
  </r>
  <r>
    <x v="2313"/>
    <x v="2313"/>
    <s v="A Sunny Day in Glasgow are recording a new album and we need your help!"/>
    <n v="5000"/>
    <n v="8792.02"/>
    <x v="0"/>
    <x v="0"/>
    <x v="0"/>
    <n v="1336086026"/>
    <n v="1333494026"/>
    <b v="1"/>
    <x v="328"/>
    <b v="1"/>
    <x v="14"/>
    <x v="1809"/>
    <n v="6896.01"/>
    <x v="4"/>
    <x v="14"/>
  </r>
  <r>
    <x v="2314"/>
    <x v="2314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x v="133"/>
    <b v="1"/>
    <x v="14"/>
    <x v="1810"/>
    <n v="1541.8200000000002"/>
    <x v="4"/>
    <x v="14"/>
  </r>
  <r>
    <x v="2315"/>
    <x v="2315"/>
    <s v="Rice invites you to be a part of the creation of their first album and spread their message of love."/>
    <n v="2500"/>
    <n v="2565"/>
    <x v="0"/>
    <x v="0"/>
    <x v="0"/>
    <n v="1336238743"/>
    <n v="1333646743"/>
    <b v="1"/>
    <x v="31"/>
    <b v="1"/>
    <x v="14"/>
    <x v="946"/>
    <n v="2532.5"/>
    <x v="4"/>
    <x v="14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x v="452"/>
    <b v="1"/>
    <x v="14"/>
    <x v="1811"/>
    <n v="15303.2"/>
    <x v="4"/>
    <x v="14"/>
  </r>
  <r>
    <x v="2317"/>
    <x v="2317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x v="19"/>
    <b v="1"/>
    <x v="14"/>
    <x v="87"/>
    <n v="408"/>
    <x v="4"/>
    <x v="14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x v="430"/>
    <b v="1"/>
    <x v="14"/>
    <x v="1812"/>
    <n v="5526.5"/>
    <x v="4"/>
    <x v="14"/>
  </r>
  <r>
    <x v="2319"/>
    <x v="2319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x v="99"/>
    <b v="1"/>
    <x v="14"/>
    <x v="1813"/>
    <n v="3115.5"/>
    <x v="4"/>
    <x v="14"/>
  </r>
  <r>
    <x v="2320"/>
    <x v="2320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x v="30"/>
    <b v="1"/>
    <x v="14"/>
    <x v="1814"/>
    <n v="5216.5"/>
    <x v="4"/>
    <x v="14"/>
  </r>
  <r>
    <x v="2321"/>
    <x v="2321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x v="31"/>
    <b v="0"/>
    <x v="33"/>
    <x v="1815"/>
    <n v="7343.5"/>
    <x v="7"/>
    <x v="33"/>
  </r>
  <r>
    <x v="2322"/>
    <x v="2322"/>
    <s v="Jen bakes shortbread is a small batch, all natural shortbread cookie business looking for smart funding to grow!"/>
    <n v="2700"/>
    <n v="85"/>
    <x v="3"/>
    <x v="0"/>
    <x v="0"/>
    <n v="1491769769"/>
    <n v="1489181369"/>
    <b v="0"/>
    <x v="80"/>
    <b v="0"/>
    <x v="33"/>
    <x v="1816"/>
    <n v="1392.5"/>
    <x v="7"/>
    <x v="33"/>
  </r>
  <r>
    <x v="2323"/>
    <x v="2323"/>
    <s v="You can never go wrong with a Beef Stick, great taste with no fillers and can easily goes with you everywhere."/>
    <n v="250"/>
    <n v="120"/>
    <x v="3"/>
    <x v="0"/>
    <x v="0"/>
    <n v="1490033247"/>
    <n v="1489428447"/>
    <b v="0"/>
    <x v="80"/>
    <b v="0"/>
    <x v="33"/>
    <x v="1817"/>
    <n v="185"/>
    <x v="7"/>
    <x v="33"/>
  </r>
  <r>
    <x v="2324"/>
    <x v="2324"/>
    <s v="A city centre shop selling great locally made food with room to chat and learn about eachother."/>
    <n v="7500"/>
    <n v="1555"/>
    <x v="3"/>
    <x v="1"/>
    <x v="1"/>
    <n v="1490559285"/>
    <n v="1487970885"/>
    <b v="0"/>
    <x v="42"/>
    <b v="0"/>
    <x v="33"/>
    <x v="1818"/>
    <n v="4527.5"/>
    <x v="7"/>
    <x v="33"/>
  </r>
  <r>
    <x v="2325"/>
    <x v="2325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x v="63"/>
    <b v="0"/>
    <x v="33"/>
    <x v="1819"/>
    <n v="540"/>
    <x v="7"/>
    <x v="33"/>
  </r>
  <r>
    <x v="2326"/>
    <x v="2326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x v="29"/>
    <b v="0"/>
    <x v="33"/>
    <x v="174"/>
    <n v="7554"/>
    <x v="7"/>
    <x v="33"/>
  </r>
  <r>
    <x v="2327"/>
    <x v="2327"/>
    <s v="Gourmet Fermentation in a Mason Jar. Create delicious, nutritious fermented foods at home."/>
    <n v="35000"/>
    <n v="184133.01"/>
    <x v="0"/>
    <x v="0"/>
    <x v="0"/>
    <n v="1409090440"/>
    <n v="1406066440"/>
    <b v="1"/>
    <x v="453"/>
    <b v="1"/>
    <x v="33"/>
    <x v="1820"/>
    <n v="109566.505"/>
    <x v="7"/>
    <x v="33"/>
  </r>
  <r>
    <x v="2328"/>
    <x v="2328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x v="416"/>
    <b v="1"/>
    <x v="33"/>
    <x v="1821"/>
    <n v="17722.5"/>
    <x v="7"/>
    <x v="33"/>
  </r>
  <r>
    <x v="2329"/>
    <x v="2329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x v="207"/>
    <b v="1"/>
    <x v="33"/>
    <x v="1822"/>
    <n v="25740"/>
    <x v="7"/>
    <x v="33"/>
  </r>
  <r>
    <x v="2330"/>
    <x v="2330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x v="430"/>
    <b v="1"/>
    <x v="33"/>
    <x v="1823"/>
    <n v="35424"/>
    <x v="7"/>
    <x v="33"/>
  </r>
  <r>
    <x v="2331"/>
    <x v="2331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x v="454"/>
    <b v="1"/>
    <x v="33"/>
    <x v="1824"/>
    <n v="9772.5499999999993"/>
    <x v="7"/>
    <x v="33"/>
  </r>
  <r>
    <x v="2332"/>
    <x v="2332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x v="455"/>
    <b v="1"/>
    <x v="33"/>
    <x v="1825"/>
    <n v="25788.5"/>
    <x v="7"/>
    <x v="33"/>
  </r>
  <r>
    <x v="2333"/>
    <x v="2333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x v="225"/>
    <b v="1"/>
    <x v="33"/>
    <x v="1826"/>
    <n v="936.5"/>
    <x v="7"/>
    <x v="33"/>
  </r>
  <r>
    <x v="2334"/>
    <x v="2334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x v="85"/>
    <b v="1"/>
    <x v="33"/>
    <x v="1827"/>
    <n v="4039"/>
    <x v="7"/>
    <x v="33"/>
  </r>
  <r>
    <x v="2335"/>
    <x v="2335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x v="170"/>
    <b v="1"/>
    <x v="33"/>
    <x v="1828"/>
    <n v="25284"/>
    <x v="7"/>
    <x v="33"/>
  </r>
  <r>
    <x v="2336"/>
    <x v="2336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x v="456"/>
    <b v="1"/>
    <x v="33"/>
    <x v="1829"/>
    <n v="62073.254999999997"/>
    <x v="7"/>
    <x v="33"/>
  </r>
  <r>
    <x v="2337"/>
    <x v="2337"/>
    <s v="We make small batch, locally sourced bitters and shrubs for cocktails and cooking."/>
    <n v="12000"/>
    <n v="13279"/>
    <x v="0"/>
    <x v="0"/>
    <x v="0"/>
    <n v="1403796143"/>
    <n v="1401204143"/>
    <b v="1"/>
    <x v="122"/>
    <b v="1"/>
    <x v="33"/>
    <x v="1830"/>
    <n v="12639.5"/>
    <x v="7"/>
    <x v="3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x v="252"/>
    <b v="1"/>
    <x v="33"/>
    <x v="1831"/>
    <n v="15085.75"/>
    <x v="7"/>
    <x v="33"/>
  </r>
  <r>
    <x v="2339"/>
    <x v="2339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x v="457"/>
    <b v="1"/>
    <x v="33"/>
    <x v="1832"/>
    <n v="49276"/>
    <x v="7"/>
    <x v="33"/>
  </r>
  <r>
    <x v="2340"/>
    <x v="2340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x v="458"/>
    <b v="1"/>
    <x v="33"/>
    <x v="1833"/>
    <n v="41155.5"/>
    <x v="7"/>
    <x v="33"/>
  </r>
  <r>
    <x v="2341"/>
    <x v="2341"/>
    <s v="This website will serve as an interface to change lives and have a community routing for your success!"/>
    <n v="5000"/>
    <n v="0"/>
    <x v="1"/>
    <x v="0"/>
    <x v="0"/>
    <n v="1436729504"/>
    <n v="1434137504"/>
    <b v="0"/>
    <x v="78"/>
    <b v="0"/>
    <x v="7"/>
    <x v="109"/>
    <n v="2500"/>
    <x v="2"/>
    <x v="7"/>
  </r>
  <r>
    <x v="2342"/>
    <x v="2342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x v="78"/>
    <b v="0"/>
    <x v="7"/>
    <x v="109"/>
    <n v="2750"/>
    <x v="2"/>
    <x v="7"/>
  </r>
  <r>
    <x v="2343"/>
    <x v="2343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x v="29"/>
    <b v="0"/>
    <x v="7"/>
    <x v="419"/>
    <n v="5150"/>
    <x v="2"/>
    <x v="7"/>
  </r>
  <r>
    <x v="2344"/>
    <x v="2344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x v="29"/>
    <b v="0"/>
    <x v="7"/>
    <x v="370"/>
    <n v="500.5"/>
    <x v="2"/>
    <x v="7"/>
  </r>
  <r>
    <x v="2345"/>
    <x v="2345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x v="78"/>
    <b v="0"/>
    <x v="7"/>
    <x v="109"/>
    <n v="1500"/>
    <x v="2"/>
    <x v="7"/>
  </r>
  <r>
    <x v="2346"/>
    <x v="2346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x v="83"/>
    <b v="0"/>
    <x v="7"/>
    <x v="1834"/>
    <n v="30019.5"/>
    <x v="2"/>
    <x v="7"/>
  </r>
  <r>
    <x v="2347"/>
    <x v="2347"/>
    <s v="Back this project and get access to a course about building COMPLETE web applications without coding."/>
    <n v="1000"/>
    <n v="15"/>
    <x v="1"/>
    <x v="0"/>
    <x v="0"/>
    <n v="1472135676"/>
    <n v="1469543676"/>
    <b v="0"/>
    <x v="29"/>
    <b v="0"/>
    <x v="7"/>
    <x v="1835"/>
    <n v="507.5"/>
    <x v="2"/>
    <x v="7"/>
  </r>
  <r>
    <x v="2348"/>
    <x v="2348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x v="81"/>
    <b v="0"/>
    <x v="7"/>
    <x v="1836"/>
    <n v="35135"/>
    <x v="2"/>
    <x v="7"/>
  </r>
  <r>
    <x v="2349"/>
    <x v="2349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x v="78"/>
    <b v="0"/>
    <x v="7"/>
    <x v="109"/>
    <n v="237450"/>
    <x v="2"/>
    <x v="7"/>
  </r>
  <r>
    <x v="2350"/>
    <x v="2350"/>
    <s v="HoxWi are the future for real time interaction with on-line customers via chat or video conference."/>
    <n v="50000"/>
    <n v="0"/>
    <x v="1"/>
    <x v="17"/>
    <x v="3"/>
    <n v="1483474370"/>
    <n v="1480882370"/>
    <b v="0"/>
    <x v="78"/>
    <b v="0"/>
    <x v="7"/>
    <x v="109"/>
    <n v="25000"/>
    <x v="2"/>
    <x v="7"/>
  </r>
  <r>
    <x v="2351"/>
    <x v="2351"/>
    <s v="Donate $30 or more and receive a free selfie stick."/>
    <n v="18900"/>
    <n v="108"/>
    <x v="1"/>
    <x v="4"/>
    <x v="4"/>
    <n v="1430360739"/>
    <n v="1427768739"/>
    <b v="0"/>
    <x v="63"/>
    <b v="0"/>
    <x v="7"/>
    <x v="1837"/>
    <n v="9504"/>
    <x v="2"/>
    <x v="7"/>
  </r>
  <r>
    <x v="2352"/>
    <x v="2352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x v="78"/>
    <b v="0"/>
    <x v="7"/>
    <x v="109"/>
    <n v="1000"/>
    <x v="2"/>
    <x v="7"/>
  </r>
  <r>
    <x v="2353"/>
    <x v="2353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x v="78"/>
    <b v="0"/>
    <x v="7"/>
    <x v="109"/>
    <n v="500"/>
    <x v="2"/>
    <x v="7"/>
  </r>
  <r>
    <x v="2354"/>
    <x v="2354"/>
    <s v="Almost done with doctorate degree but need funding of $35,000 to complete research of project."/>
    <n v="35000"/>
    <n v="25"/>
    <x v="1"/>
    <x v="0"/>
    <x v="0"/>
    <n v="1420910460"/>
    <n v="1415726460"/>
    <b v="0"/>
    <x v="29"/>
    <b v="0"/>
    <x v="7"/>
    <x v="1838"/>
    <n v="17512.5"/>
    <x v="2"/>
    <x v="7"/>
  </r>
  <r>
    <x v="2355"/>
    <x v="2355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x v="84"/>
    <b v="0"/>
    <x v="7"/>
    <x v="1839"/>
    <n v="4027.5"/>
    <x v="2"/>
    <x v="7"/>
  </r>
  <r>
    <x v="2356"/>
    <x v="2356"/>
    <s v="HardstyleUnited.com The Global Hardstyle community. Your Hardstyle community."/>
    <n v="10000"/>
    <n v="0"/>
    <x v="1"/>
    <x v="9"/>
    <x v="3"/>
    <n v="1433530104"/>
    <n v="1430938104"/>
    <b v="0"/>
    <x v="78"/>
    <b v="0"/>
    <x v="7"/>
    <x v="109"/>
    <n v="5000"/>
    <x v="2"/>
    <x v="7"/>
  </r>
  <r>
    <x v="2357"/>
    <x v="2357"/>
    <s v="Click For Therapy is a website that was created to connect consumers and therapists across the UK."/>
    <n v="27000"/>
    <n v="0"/>
    <x v="1"/>
    <x v="1"/>
    <x v="1"/>
    <n v="1445093578"/>
    <n v="1442501578"/>
    <b v="0"/>
    <x v="78"/>
    <b v="0"/>
    <x v="7"/>
    <x v="109"/>
    <n v="13500"/>
    <x v="2"/>
    <x v="7"/>
  </r>
  <r>
    <x v="2358"/>
    <x v="2358"/>
    <s v="A website to auction, sell and swap items in the uk without a charge, without excess fees, the next ebay."/>
    <n v="1500"/>
    <n v="0"/>
    <x v="1"/>
    <x v="1"/>
    <x v="1"/>
    <n v="1422664740"/>
    <n v="1417818036"/>
    <b v="0"/>
    <x v="78"/>
    <b v="0"/>
    <x v="7"/>
    <x v="109"/>
    <n v="750"/>
    <x v="2"/>
    <x v="7"/>
  </r>
  <r>
    <x v="2359"/>
    <x v="2359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x v="83"/>
    <b v="0"/>
    <x v="7"/>
    <x v="1840"/>
    <n v="4300.5"/>
    <x v="2"/>
    <x v="7"/>
  </r>
  <r>
    <x v="2360"/>
    <x v="2360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x v="29"/>
    <b v="0"/>
    <x v="7"/>
    <x v="167"/>
    <n v="2501"/>
    <x v="2"/>
    <x v="7"/>
  </r>
  <r>
    <x v="2361"/>
    <x v="2361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x v="78"/>
    <b v="0"/>
    <x v="7"/>
    <x v="109"/>
    <n v="100"/>
    <x v="2"/>
    <x v="7"/>
  </r>
  <r>
    <x v="2362"/>
    <x v="2362"/>
    <s v="The Columbus Ruby Brigade has brought monthly ruby goodness and camaraderie to all participants."/>
    <n v="420"/>
    <n v="120"/>
    <x v="1"/>
    <x v="0"/>
    <x v="0"/>
    <n v="1418315470"/>
    <n v="1415723470"/>
    <b v="0"/>
    <x v="84"/>
    <b v="0"/>
    <x v="7"/>
    <x v="1841"/>
    <n v="270"/>
    <x v="2"/>
    <x v="7"/>
  </r>
  <r>
    <x v="2363"/>
    <x v="2363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x v="78"/>
    <b v="0"/>
    <x v="7"/>
    <x v="109"/>
    <n v="87500"/>
    <x v="2"/>
    <x v="7"/>
  </r>
  <r>
    <x v="2364"/>
    <x v="2364"/>
    <s v="Making a Minecraft server and Website and I need your help to fund it. Thanks in Advance!"/>
    <n v="128"/>
    <n v="0"/>
    <x v="1"/>
    <x v="0"/>
    <x v="0"/>
    <n v="1445898356"/>
    <n v="1441146356"/>
    <b v="0"/>
    <x v="78"/>
    <b v="0"/>
    <x v="7"/>
    <x v="109"/>
    <n v="64"/>
    <x v="2"/>
    <x v="7"/>
  </r>
  <r>
    <x v="2365"/>
    <x v="2365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x v="78"/>
    <b v="0"/>
    <x v="7"/>
    <x v="109"/>
    <n v="500"/>
    <x v="2"/>
    <x v="7"/>
  </r>
  <r>
    <x v="2366"/>
    <x v="2366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x v="74"/>
    <b v="0"/>
    <x v="7"/>
    <x v="1842"/>
    <n v="13815"/>
    <x v="2"/>
    <x v="7"/>
  </r>
  <r>
    <x v="2367"/>
    <x v="2367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x v="25"/>
    <b v="0"/>
    <x v="7"/>
    <x v="1843"/>
    <n v="25335"/>
    <x v="2"/>
    <x v="7"/>
  </r>
  <r>
    <x v="2368"/>
    <x v="2368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x v="84"/>
    <b v="0"/>
    <x v="7"/>
    <x v="1161"/>
    <n v="20050"/>
    <x v="2"/>
    <x v="7"/>
  </r>
  <r>
    <x v="2369"/>
    <x v="2369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x v="78"/>
    <b v="0"/>
    <x v="7"/>
    <x v="109"/>
    <n v="12500"/>
    <x v="2"/>
    <x v="7"/>
  </r>
  <r>
    <x v="2370"/>
    <x v="2370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x v="80"/>
    <b v="0"/>
    <x v="7"/>
    <x v="1844"/>
    <n v="12541"/>
    <x v="2"/>
    <x v="7"/>
  </r>
  <r>
    <x v="2371"/>
    <x v="2371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x v="78"/>
    <b v="0"/>
    <x v="7"/>
    <x v="109"/>
    <n v="1000"/>
    <x v="2"/>
    <x v="7"/>
  </r>
  <r>
    <x v="2372"/>
    <x v="2372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x v="79"/>
    <b v="0"/>
    <x v="7"/>
    <x v="1845"/>
    <n v="2840"/>
    <x v="2"/>
    <x v="7"/>
  </r>
  <r>
    <x v="2373"/>
    <x v="2373"/>
    <s v="We want to create a safe marketplace for buying and selling bicycles."/>
    <n v="850000"/>
    <n v="50"/>
    <x v="1"/>
    <x v="11"/>
    <x v="9"/>
    <n v="1440863624"/>
    <n v="1438271624"/>
    <b v="0"/>
    <x v="29"/>
    <b v="0"/>
    <x v="7"/>
    <x v="1846"/>
    <n v="425025"/>
    <x v="2"/>
    <x v="7"/>
  </r>
  <r>
    <x v="2374"/>
    <x v="2374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x v="29"/>
    <b v="0"/>
    <x v="7"/>
    <x v="1847"/>
    <n v="11005"/>
    <x v="2"/>
    <x v="7"/>
  </r>
  <r>
    <x v="2375"/>
    <x v="2375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x v="78"/>
    <b v="0"/>
    <x v="7"/>
    <x v="109"/>
    <n v="5000"/>
    <x v="2"/>
    <x v="7"/>
  </r>
  <r>
    <x v="2376"/>
    <x v="2376"/>
    <s v="Tough, pre-manufactured lost and found stickers that forward messages to the owners email and cellphone."/>
    <n v="3000"/>
    <n v="326.33"/>
    <x v="1"/>
    <x v="0"/>
    <x v="0"/>
    <n v="1449785566"/>
    <n v="1447193566"/>
    <b v="0"/>
    <x v="80"/>
    <b v="0"/>
    <x v="7"/>
    <x v="1848"/>
    <n v="1663.165"/>
    <x v="2"/>
    <x v="7"/>
  </r>
  <r>
    <x v="2377"/>
    <x v="2377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x v="78"/>
    <b v="0"/>
    <x v="7"/>
    <x v="109"/>
    <n v="1250"/>
    <x v="2"/>
    <x v="7"/>
  </r>
  <r>
    <x v="2378"/>
    <x v="2378"/>
    <s v="KEEPUP allows you to extend your social circle by introducing you to new people via your friends."/>
    <n v="110000"/>
    <n v="0"/>
    <x v="1"/>
    <x v="0"/>
    <x v="0"/>
    <n v="1440548330"/>
    <n v="1438042730"/>
    <b v="0"/>
    <x v="78"/>
    <b v="0"/>
    <x v="7"/>
    <x v="109"/>
    <n v="55000"/>
    <x v="2"/>
    <x v="7"/>
  </r>
  <r>
    <x v="2379"/>
    <x v="2379"/>
    <s v="Selectcooks.com is a community marketplace for people to list, find and hire chefs."/>
    <n v="30000"/>
    <n v="0"/>
    <x v="1"/>
    <x v="0"/>
    <x v="0"/>
    <n v="1444004616"/>
    <n v="1440116616"/>
    <b v="0"/>
    <x v="78"/>
    <b v="0"/>
    <x v="7"/>
    <x v="109"/>
    <n v="15000"/>
    <x v="2"/>
    <x v="7"/>
  </r>
  <r>
    <x v="2380"/>
    <x v="2380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x v="83"/>
    <b v="0"/>
    <x v="7"/>
    <x v="456"/>
    <n v="7527.5"/>
    <x v="2"/>
    <x v="7"/>
  </r>
  <r>
    <x v="2381"/>
    <x v="2381"/>
    <s v="Social Media Platform for the Marijuana Industry to create professionalism and a stable lasting market."/>
    <n v="86350"/>
    <n v="1571"/>
    <x v="1"/>
    <x v="0"/>
    <x v="0"/>
    <n v="1428704848"/>
    <n v="1426112848"/>
    <b v="0"/>
    <x v="63"/>
    <b v="0"/>
    <x v="7"/>
    <x v="1849"/>
    <n v="43960.5"/>
    <x v="2"/>
    <x v="7"/>
  </r>
  <r>
    <x v="2382"/>
    <x v="2382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x v="84"/>
    <b v="0"/>
    <x v="7"/>
    <x v="453"/>
    <n v="1537.5"/>
    <x v="2"/>
    <x v="7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x v="83"/>
    <b v="0"/>
    <x v="7"/>
    <x v="1850"/>
    <n v="5217.5"/>
    <x v="2"/>
    <x v="7"/>
  </r>
  <r>
    <x v="2384"/>
    <x v="2384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x v="22"/>
    <b v="0"/>
    <x v="7"/>
    <x v="417"/>
    <n v="504"/>
    <x v="2"/>
    <x v="7"/>
  </r>
  <r>
    <x v="2385"/>
    <x v="2385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x v="63"/>
    <b v="0"/>
    <x v="7"/>
    <x v="1851"/>
    <n v="32894"/>
    <x v="2"/>
    <x v="7"/>
  </r>
  <r>
    <x v="2386"/>
    <x v="2386"/>
    <s v="Realjobmatch is not just a job search site but a matching site , matching the right jobseekers with the best jobs."/>
    <n v="30000"/>
    <n v="0"/>
    <x v="1"/>
    <x v="5"/>
    <x v="5"/>
    <n v="1420920424"/>
    <n v="1415736424"/>
    <b v="0"/>
    <x v="78"/>
    <b v="0"/>
    <x v="7"/>
    <x v="109"/>
    <n v="15000"/>
    <x v="2"/>
    <x v="7"/>
  </r>
  <r>
    <x v="2387"/>
    <x v="2387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x v="83"/>
    <b v="0"/>
    <x v="7"/>
    <x v="1852"/>
    <n v="75513"/>
    <x v="2"/>
    <x v="7"/>
  </r>
  <r>
    <x v="2388"/>
    <x v="2388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x v="22"/>
    <b v="0"/>
    <x v="7"/>
    <x v="1853"/>
    <n v="18731.5"/>
    <x v="2"/>
    <x v="7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x v="29"/>
    <b v="0"/>
    <x v="7"/>
    <x v="1854"/>
    <n v="8015"/>
    <x v="2"/>
    <x v="7"/>
  </r>
  <r>
    <x v="2390"/>
    <x v="2390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x v="78"/>
    <b v="0"/>
    <x v="7"/>
    <x v="109"/>
    <n v="255000"/>
    <x v="2"/>
    <x v="7"/>
  </r>
  <r>
    <x v="2391"/>
    <x v="2391"/>
    <s v="Using the power of internet to help people save hundreds in car repair."/>
    <n v="20000"/>
    <n v="25"/>
    <x v="1"/>
    <x v="0"/>
    <x v="0"/>
    <n v="1427825044"/>
    <n v="1425236644"/>
    <b v="0"/>
    <x v="29"/>
    <b v="0"/>
    <x v="7"/>
    <x v="415"/>
    <n v="10012.5"/>
    <x v="2"/>
    <x v="7"/>
  </r>
  <r>
    <x v="2392"/>
    <x v="2392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x v="78"/>
    <b v="0"/>
    <x v="7"/>
    <x v="109"/>
    <n v="2100"/>
    <x v="2"/>
    <x v="7"/>
  </r>
  <r>
    <x v="2393"/>
    <x v="2393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x v="29"/>
    <b v="0"/>
    <x v="7"/>
    <x v="833"/>
    <n v="50025"/>
    <x v="2"/>
    <x v="7"/>
  </r>
  <r>
    <x v="2394"/>
    <x v="2394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x v="84"/>
    <b v="0"/>
    <x v="7"/>
    <x v="1855"/>
    <n v="2501.5"/>
    <x v="2"/>
    <x v="7"/>
  </r>
  <r>
    <x v="2395"/>
    <x v="2395"/>
    <s v="I am making a social website where people can anonymously or openly vent, All walks of life all over the world"/>
    <n v="33000"/>
    <n v="0"/>
    <x v="1"/>
    <x v="0"/>
    <x v="0"/>
    <n v="1484038620"/>
    <n v="1481597687"/>
    <b v="0"/>
    <x v="78"/>
    <b v="0"/>
    <x v="7"/>
    <x v="109"/>
    <n v="16500"/>
    <x v="2"/>
    <x v="7"/>
  </r>
  <r>
    <x v="2396"/>
    <x v="2396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x v="29"/>
    <b v="0"/>
    <x v="7"/>
    <x v="418"/>
    <n v="2505"/>
    <x v="2"/>
    <x v="7"/>
  </r>
  <r>
    <x v="2397"/>
    <x v="2397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x v="78"/>
    <b v="0"/>
    <x v="7"/>
    <x v="109"/>
    <n v="62000"/>
    <x v="2"/>
    <x v="7"/>
  </r>
  <r>
    <x v="2398"/>
    <x v="2398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x v="78"/>
    <b v="0"/>
    <x v="7"/>
    <x v="109"/>
    <n v="2000"/>
    <x v="2"/>
    <x v="7"/>
  </r>
  <r>
    <x v="2399"/>
    <x v="2399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x v="78"/>
    <b v="0"/>
    <x v="7"/>
    <x v="109"/>
    <n v="6500"/>
    <x v="2"/>
    <x v="7"/>
  </r>
  <r>
    <x v="2400"/>
    <x v="2400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x v="78"/>
    <b v="0"/>
    <x v="7"/>
    <x v="109"/>
    <n v="25000"/>
    <x v="2"/>
    <x v="7"/>
  </r>
  <r>
    <x v="2401"/>
    <x v="2401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x v="82"/>
    <b v="0"/>
    <x v="19"/>
    <x v="1856"/>
    <n v="14100.5"/>
    <x v="7"/>
    <x v="19"/>
  </r>
  <r>
    <x v="2402"/>
    <x v="2402"/>
    <s v="Small town, delicious treats, and a mobile truck"/>
    <n v="12000"/>
    <n v="52"/>
    <x v="2"/>
    <x v="0"/>
    <x v="0"/>
    <n v="1431533931"/>
    <n v="1428941931"/>
    <b v="0"/>
    <x v="29"/>
    <b v="0"/>
    <x v="19"/>
    <x v="414"/>
    <n v="6026"/>
    <x v="7"/>
    <x v="19"/>
  </r>
  <r>
    <x v="2403"/>
    <x v="2403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x v="8"/>
    <b v="0"/>
    <x v="19"/>
    <x v="1857"/>
    <n v="701"/>
    <x v="7"/>
    <x v="19"/>
  </r>
  <r>
    <x v="2404"/>
    <x v="2404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x v="78"/>
    <b v="0"/>
    <x v="19"/>
    <x v="109"/>
    <n v="7500"/>
    <x v="7"/>
    <x v="19"/>
  </r>
  <r>
    <x v="2405"/>
    <x v="2405"/>
    <s v="We are the first gaming-themed food truck, bringing gourmet pub fare to the Jacksonville area."/>
    <n v="5000"/>
    <n v="1126"/>
    <x v="2"/>
    <x v="0"/>
    <x v="0"/>
    <n v="1472911375"/>
    <n v="1471096975"/>
    <b v="0"/>
    <x v="9"/>
    <b v="0"/>
    <x v="19"/>
    <x v="1858"/>
    <n v="3063"/>
    <x v="7"/>
    <x v="19"/>
  </r>
  <r>
    <x v="2406"/>
    <x v="2406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x v="38"/>
    <b v="0"/>
    <x v="19"/>
    <x v="1859"/>
    <n v="2297.5"/>
    <x v="7"/>
    <x v="19"/>
  </r>
  <r>
    <x v="2407"/>
    <x v="2407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x v="51"/>
    <b v="0"/>
    <x v="19"/>
    <x v="1860"/>
    <n v="13778.5"/>
    <x v="7"/>
    <x v="19"/>
  </r>
  <r>
    <x v="2408"/>
    <x v="2408"/>
    <s v="A US Army Vet trying to get a Peruvian food truck going! Really good Peruvian food now mobile!"/>
    <n v="15000"/>
    <n v="30"/>
    <x v="2"/>
    <x v="0"/>
    <x v="0"/>
    <n v="1415247757"/>
    <n v="1412652157"/>
    <b v="0"/>
    <x v="84"/>
    <b v="0"/>
    <x v="19"/>
    <x v="418"/>
    <n v="7515"/>
    <x v="7"/>
    <x v="19"/>
  </r>
  <r>
    <x v="2409"/>
    <x v="2409"/>
    <s v="I am looking to start a food truck with an infusion of my Puerto Rican heritage and my love for BBQ."/>
    <n v="25000"/>
    <n v="460"/>
    <x v="2"/>
    <x v="0"/>
    <x v="0"/>
    <n v="1439931675"/>
    <n v="1437339675"/>
    <b v="0"/>
    <x v="79"/>
    <b v="0"/>
    <x v="19"/>
    <x v="1861"/>
    <n v="12730"/>
    <x v="7"/>
    <x v="19"/>
  </r>
  <r>
    <x v="2410"/>
    <x v="2410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x v="78"/>
    <b v="0"/>
    <x v="19"/>
    <x v="109"/>
    <n v="7500"/>
    <x v="7"/>
    <x v="19"/>
  </r>
  <r>
    <x v="2411"/>
    <x v="2411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x v="83"/>
    <b v="0"/>
    <x v="19"/>
    <x v="1862"/>
    <n v="12575.5"/>
    <x v="7"/>
    <x v="19"/>
  </r>
  <r>
    <x v="2412"/>
    <x v="2412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x v="78"/>
    <b v="0"/>
    <x v="19"/>
    <x v="109"/>
    <n v="4000"/>
    <x v="7"/>
    <x v="19"/>
  </r>
  <r>
    <x v="2413"/>
    <x v="2413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x v="83"/>
    <b v="0"/>
    <x v="19"/>
    <x v="1863"/>
    <n v="1512.5"/>
    <x v="7"/>
    <x v="19"/>
  </r>
  <r>
    <x v="2414"/>
    <x v="2414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x v="62"/>
    <b v="0"/>
    <x v="19"/>
    <x v="1864"/>
    <n v="7730"/>
    <x v="7"/>
    <x v="19"/>
  </r>
  <r>
    <x v="2415"/>
    <x v="2415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x v="79"/>
    <b v="0"/>
    <x v="19"/>
    <x v="1865"/>
    <n v="30167.5"/>
    <x v="7"/>
    <x v="19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x v="29"/>
    <b v="0"/>
    <x v="19"/>
    <x v="1866"/>
    <n v="10002.5"/>
    <x v="7"/>
    <x v="19"/>
  </r>
  <r>
    <x v="2417"/>
    <x v="2417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x v="78"/>
    <b v="0"/>
    <x v="19"/>
    <x v="109"/>
    <n v="500"/>
    <x v="7"/>
    <x v="19"/>
  </r>
  <r>
    <x v="2418"/>
    <x v="2418"/>
    <s v="I want to start my food truck business."/>
    <n v="25000"/>
    <n v="5"/>
    <x v="2"/>
    <x v="0"/>
    <x v="0"/>
    <n v="1427225644"/>
    <n v="1422045244"/>
    <b v="0"/>
    <x v="81"/>
    <b v="0"/>
    <x v="19"/>
    <x v="459"/>
    <n v="12502.5"/>
    <x v="7"/>
    <x v="19"/>
  </r>
  <r>
    <x v="2419"/>
    <x v="2419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x v="78"/>
    <b v="0"/>
    <x v="19"/>
    <x v="109"/>
    <n v="1500"/>
    <x v="7"/>
    <x v="19"/>
  </r>
  <r>
    <x v="2420"/>
    <x v="2420"/>
    <s v="Pangea Cuisines offers authentic hand crafted dishes, utilizing fresh ingredients selected that very morning."/>
    <n v="16870"/>
    <n v="2501"/>
    <x v="2"/>
    <x v="0"/>
    <x v="0"/>
    <n v="1415583695"/>
    <n v="1410396095"/>
    <b v="0"/>
    <x v="17"/>
    <b v="0"/>
    <x v="19"/>
    <x v="1867"/>
    <n v="9685.5"/>
    <x v="7"/>
    <x v="19"/>
  </r>
  <r>
    <x v="2421"/>
    <x v="2421"/>
    <s v="help me start Merrill's first hot dog cart in this empty lot"/>
    <n v="6000"/>
    <n v="1"/>
    <x v="2"/>
    <x v="0"/>
    <x v="0"/>
    <n v="1424536196"/>
    <n v="1421944196"/>
    <b v="0"/>
    <x v="29"/>
    <b v="0"/>
    <x v="19"/>
    <x v="374"/>
    <n v="3000.5"/>
    <x v="7"/>
    <x v="19"/>
  </r>
  <r>
    <x v="2422"/>
    <x v="2422"/>
    <s v="Family owned business serving BBQ and seafood to the public"/>
    <n v="500"/>
    <n v="1"/>
    <x v="2"/>
    <x v="0"/>
    <x v="0"/>
    <n v="1426091036"/>
    <n v="1423502636"/>
    <b v="0"/>
    <x v="29"/>
    <b v="0"/>
    <x v="19"/>
    <x v="418"/>
    <n v="250.5"/>
    <x v="7"/>
    <x v="19"/>
  </r>
  <r>
    <x v="2423"/>
    <x v="2423"/>
    <s v="FBTR is a Texas-style, North Carolina based, homemade BBQ company looking to bring good meat to the masses."/>
    <n v="60000"/>
    <n v="8"/>
    <x v="2"/>
    <x v="0"/>
    <x v="0"/>
    <n v="1420044890"/>
    <n v="1417452890"/>
    <b v="0"/>
    <x v="29"/>
    <b v="0"/>
    <x v="19"/>
    <x v="473"/>
    <n v="30004"/>
    <x v="7"/>
    <x v="19"/>
  </r>
  <r>
    <x v="2424"/>
    <x v="2424"/>
    <s v="Great and creative food from the heart in the form of a sweet food truck!"/>
    <n v="25000"/>
    <n v="310"/>
    <x v="2"/>
    <x v="0"/>
    <x v="0"/>
    <n v="1414445108"/>
    <n v="1411853108"/>
    <b v="0"/>
    <x v="82"/>
    <b v="0"/>
    <x v="19"/>
    <x v="1868"/>
    <n v="12655"/>
    <x v="7"/>
    <x v="19"/>
  </r>
  <r>
    <x v="2425"/>
    <x v="2425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x v="29"/>
    <b v="0"/>
    <x v="19"/>
    <x v="1869"/>
    <n v="1750.5"/>
    <x v="7"/>
    <x v="19"/>
  </r>
  <r>
    <x v="2426"/>
    <x v="2426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x v="78"/>
    <b v="0"/>
    <x v="19"/>
    <x v="109"/>
    <n v="10000"/>
    <x v="7"/>
    <x v="19"/>
  </r>
  <r>
    <x v="2427"/>
    <x v="2427"/>
    <s v="Fast and simple lunches for those on the go.  All (lunch) deals $10 or less."/>
    <n v="50000"/>
    <n v="1"/>
    <x v="2"/>
    <x v="0"/>
    <x v="0"/>
    <n v="1458715133"/>
    <n v="1455262733"/>
    <b v="0"/>
    <x v="29"/>
    <b v="0"/>
    <x v="19"/>
    <x v="133"/>
    <n v="25000.5"/>
    <x v="7"/>
    <x v="19"/>
  </r>
  <r>
    <x v="2428"/>
    <x v="2428"/>
    <s v="From Moo 2 You! We want to offer premium burgers to a taco flooded environment."/>
    <n v="35000"/>
    <n v="1"/>
    <x v="2"/>
    <x v="0"/>
    <x v="0"/>
    <n v="1426182551"/>
    <n v="1423594151"/>
    <b v="0"/>
    <x v="29"/>
    <b v="0"/>
    <x v="19"/>
    <x v="1870"/>
    <n v="17500.5"/>
    <x v="7"/>
    <x v="19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x v="80"/>
    <b v="0"/>
    <x v="19"/>
    <x v="1871"/>
    <n v="71002.5"/>
    <x v="7"/>
    <x v="19"/>
  </r>
  <r>
    <x v="2430"/>
    <x v="2430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x v="84"/>
    <b v="0"/>
    <x v="19"/>
    <x v="449"/>
    <n v="1510.5"/>
    <x v="7"/>
    <x v="19"/>
  </r>
  <r>
    <x v="2431"/>
    <x v="2431"/>
    <s v="Go to Colorado and run a food truck with homemade food of all kinds."/>
    <n v="100000"/>
    <n v="2"/>
    <x v="2"/>
    <x v="0"/>
    <x v="0"/>
    <n v="1467080613"/>
    <n v="1461896613"/>
    <b v="0"/>
    <x v="84"/>
    <b v="0"/>
    <x v="19"/>
    <x v="133"/>
    <n v="50001"/>
    <x v="7"/>
    <x v="19"/>
  </r>
  <r>
    <x v="2432"/>
    <x v="2432"/>
    <s v="Looking to start competition cooking and need start-up help.  Offering brisket tasting to all contributors."/>
    <n v="14000"/>
    <n v="2"/>
    <x v="2"/>
    <x v="0"/>
    <x v="0"/>
    <n v="1425791697"/>
    <n v="1423199697"/>
    <b v="0"/>
    <x v="84"/>
    <b v="0"/>
    <x v="19"/>
    <x v="107"/>
    <n v="7001"/>
    <x v="7"/>
    <x v="19"/>
  </r>
  <r>
    <x v="2433"/>
    <x v="2433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x v="78"/>
    <b v="0"/>
    <x v="19"/>
    <x v="109"/>
    <n v="5000"/>
    <x v="7"/>
    <x v="19"/>
  </r>
  <r>
    <x v="2434"/>
    <x v="2434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x v="84"/>
    <b v="0"/>
    <x v="19"/>
    <x v="1872"/>
    <n v="10013"/>
    <x v="7"/>
    <x v="19"/>
  </r>
  <r>
    <x v="2435"/>
    <x v="2435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x v="80"/>
    <b v="0"/>
    <x v="19"/>
    <x v="1873"/>
    <n v="125612"/>
    <x v="7"/>
    <x v="19"/>
  </r>
  <r>
    <x v="2436"/>
    <x v="2436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x v="84"/>
    <b v="0"/>
    <x v="19"/>
    <x v="1874"/>
    <n v="58522.5"/>
    <x v="7"/>
    <x v="19"/>
  </r>
  <r>
    <x v="2437"/>
    <x v="2437"/>
    <s v="Homemade Gumbo, Stews and Curry to be served hot and fresh everyday at any festival or concert we can attend."/>
    <n v="8000"/>
    <n v="0"/>
    <x v="2"/>
    <x v="0"/>
    <x v="0"/>
    <n v="1426615200"/>
    <n v="1422400188"/>
    <b v="0"/>
    <x v="78"/>
    <b v="0"/>
    <x v="19"/>
    <x v="109"/>
    <n v="4000"/>
    <x v="7"/>
    <x v="19"/>
  </r>
  <r>
    <x v="2438"/>
    <x v="2438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x v="29"/>
    <b v="0"/>
    <x v="19"/>
    <x v="119"/>
    <n v="7525"/>
    <x v="7"/>
    <x v="19"/>
  </r>
  <r>
    <x v="2439"/>
    <x v="2439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x v="78"/>
    <b v="0"/>
    <x v="19"/>
    <x v="109"/>
    <n v="5000"/>
    <x v="7"/>
    <x v="19"/>
  </r>
  <r>
    <x v="2440"/>
    <x v="2440"/>
    <s v="Starting a entire clean energy food truck and set a new standard for Cambodia"/>
    <n v="5000"/>
    <n v="10"/>
    <x v="2"/>
    <x v="18"/>
    <x v="3"/>
    <n v="1455399313"/>
    <n v="1452807313"/>
    <b v="0"/>
    <x v="84"/>
    <b v="0"/>
    <x v="19"/>
    <x v="418"/>
    <n v="2505"/>
    <x v="7"/>
    <x v="19"/>
  </r>
  <r>
    <x v="2441"/>
    <x v="2441"/>
    <s v="YOU can help Alchemy Pops POP up on a street near you!"/>
    <n v="7500"/>
    <n v="8091"/>
    <x v="0"/>
    <x v="0"/>
    <x v="0"/>
    <n v="1437627540"/>
    <n v="1435806054"/>
    <b v="0"/>
    <x v="280"/>
    <b v="1"/>
    <x v="33"/>
    <x v="1875"/>
    <n v="7795.5"/>
    <x v="7"/>
    <x v="33"/>
  </r>
  <r>
    <x v="2442"/>
    <x v="2442"/>
    <s v="The first tea from a new sustainable tea region in India's young, rising Himalayas."/>
    <n v="24000"/>
    <n v="30226"/>
    <x v="0"/>
    <x v="0"/>
    <x v="0"/>
    <n v="1426777228"/>
    <n v="1424188828"/>
    <b v="0"/>
    <x v="459"/>
    <b v="1"/>
    <x v="33"/>
    <x v="1876"/>
    <n v="27113"/>
    <x v="7"/>
    <x v="33"/>
  </r>
  <r>
    <x v="2443"/>
    <x v="2443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x v="409"/>
    <b v="1"/>
    <x v="33"/>
    <x v="1877"/>
    <n v="30251.494999999999"/>
    <x v="7"/>
    <x v="33"/>
  </r>
  <r>
    <x v="2444"/>
    <x v="2444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x v="42"/>
    <b v="1"/>
    <x v="33"/>
    <x v="1878"/>
    <n v="3129"/>
    <x v="7"/>
    <x v="33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x v="248"/>
    <b v="1"/>
    <x v="33"/>
    <x v="1789"/>
    <n v="6820"/>
    <x v="7"/>
    <x v="33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x v="112"/>
    <b v="1"/>
    <x v="33"/>
    <x v="1879"/>
    <n v="6699.5"/>
    <x v="7"/>
    <x v="33"/>
  </r>
  <r>
    <x v="2447"/>
    <x v="2447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x v="152"/>
    <b v="1"/>
    <x v="33"/>
    <x v="1880"/>
    <n v="6590"/>
    <x v="7"/>
    <x v="33"/>
  </r>
  <r>
    <x v="2448"/>
    <x v="2448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x v="82"/>
    <b v="1"/>
    <x v="33"/>
    <x v="1881"/>
    <n v="415"/>
    <x v="7"/>
    <x v="33"/>
  </r>
  <r>
    <x v="2449"/>
    <x v="2449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x v="148"/>
    <b v="1"/>
    <x v="33"/>
    <x v="1277"/>
    <n v="10400"/>
    <x v="7"/>
    <x v="33"/>
  </r>
  <r>
    <x v="2450"/>
    <x v="2450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x v="332"/>
    <b v="1"/>
    <x v="33"/>
    <x v="1882"/>
    <n v="15115.014999999999"/>
    <x v="7"/>
    <x v="33"/>
  </r>
  <r>
    <x v="2451"/>
    <x v="2451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x v="153"/>
    <b v="1"/>
    <x v="33"/>
    <x v="1883"/>
    <n v="10772.5"/>
    <x v="7"/>
    <x v="33"/>
  </r>
  <r>
    <x v="2452"/>
    <x v="2452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x v="41"/>
    <b v="1"/>
    <x v="33"/>
    <x v="1884"/>
    <n v="700.5"/>
    <x v="7"/>
    <x v="33"/>
  </r>
  <r>
    <x v="2453"/>
    <x v="2453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x v="85"/>
    <b v="1"/>
    <x v="33"/>
    <x v="1885"/>
    <n v="3820.5"/>
    <x v="7"/>
    <x v="33"/>
  </r>
  <r>
    <x v="2454"/>
    <x v="2454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x v="208"/>
    <b v="1"/>
    <x v="33"/>
    <x v="1886"/>
    <n v="35148"/>
    <x v="7"/>
    <x v="33"/>
  </r>
  <r>
    <x v="2455"/>
    <x v="2455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x v="38"/>
    <b v="1"/>
    <x v="33"/>
    <x v="1887"/>
    <n v="423"/>
    <x v="7"/>
    <x v="33"/>
  </r>
  <r>
    <x v="2456"/>
    <x v="2456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x v="85"/>
    <b v="1"/>
    <x v="33"/>
    <x v="1888"/>
    <n v="2106.5"/>
    <x v="7"/>
    <x v="33"/>
  </r>
  <r>
    <x v="2457"/>
    <x v="2457"/>
    <s v="If you love wine, and have ever dreamed of crafting your own. You can in 3 easy steps.  Sample~Sprinkle~Savor."/>
    <n v="23000"/>
    <n v="23530"/>
    <x v="0"/>
    <x v="0"/>
    <x v="0"/>
    <n v="1458826056"/>
    <n v="1456237656"/>
    <b v="0"/>
    <x v="204"/>
    <b v="1"/>
    <x v="33"/>
    <x v="1889"/>
    <n v="23265"/>
    <x v="7"/>
    <x v="33"/>
  </r>
  <r>
    <x v="2458"/>
    <x v="2458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x v="144"/>
    <b v="1"/>
    <x v="33"/>
    <x v="1890"/>
    <n v="5254.5"/>
    <x v="7"/>
    <x v="33"/>
  </r>
  <r>
    <x v="2459"/>
    <x v="2459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x v="460"/>
    <b v="1"/>
    <x v="33"/>
    <x v="1891"/>
    <n v="30337.5"/>
    <x v="7"/>
    <x v="33"/>
  </r>
  <r>
    <x v="2460"/>
    <x v="2460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x v="32"/>
    <b v="1"/>
    <x v="33"/>
    <x v="1892"/>
    <n v="8533.5"/>
    <x v="7"/>
    <x v="33"/>
  </r>
  <r>
    <x v="2461"/>
    <x v="2461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x v="48"/>
    <b v="1"/>
    <x v="14"/>
    <x v="965"/>
    <n v="7642.5"/>
    <x v="4"/>
    <x v="14"/>
  </r>
  <r>
    <x v="2462"/>
    <x v="2462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x v="248"/>
    <b v="1"/>
    <x v="14"/>
    <x v="1893"/>
    <n v="3160.625"/>
    <x v="4"/>
    <x v="14"/>
  </r>
  <r>
    <x v="2463"/>
    <x v="2463"/>
    <s v="Emma Ate The Lion's debut full length album"/>
    <n v="2000"/>
    <n v="2325"/>
    <x v="0"/>
    <x v="0"/>
    <x v="0"/>
    <n v="1366138800"/>
    <n v="1362710425"/>
    <b v="0"/>
    <x v="11"/>
    <b v="1"/>
    <x v="14"/>
    <x v="63"/>
    <n v="2162.5"/>
    <x v="4"/>
    <x v="14"/>
  </r>
  <r>
    <x v="2464"/>
    <x v="2464"/>
    <s v="The Enemy Feathers are passing the proverbial hat to see if we can raise enough money to complete Our NEW EP"/>
    <n v="2000"/>
    <n v="2222"/>
    <x v="0"/>
    <x v="5"/>
    <x v="5"/>
    <n v="1443641340"/>
    <n v="1441143397"/>
    <b v="0"/>
    <x v="68"/>
    <b v="1"/>
    <x v="14"/>
    <x v="206"/>
    <n v="2111"/>
    <x v="4"/>
    <x v="14"/>
  </r>
  <r>
    <x v="2465"/>
    <x v="2465"/>
    <s v="An indie band from Spokane, WA looking to master and package their first full length album."/>
    <n v="700"/>
    <n v="1261"/>
    <x v="0"/>
    <x v="0"/>
    <x v="0"/>
    <n v="1348420548"/>
    <n v="1345828548"/>
    <b v="0"/>
    <x v="53"/>
    <b v="1"/>
    <x v="14"/>
    <x v="1894"/>
    <n v="980.5"/>
    <x v="4"/>
    <x v="14"/>
  </r>
  <r>
    <x v="2466"/>
    <x v="2466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x v="47"/>
    <b v="1"/>
    <x v="14"/>
    <x v="31"/>
    <n v="2500"/>
    <x v="4"/>
    <x v="14"/>
  </r>
  <r>
    <x v="2467"/>
    <x v="2467"/>
    <s v="We've finished our first EP and we're taking it on the road in three weeks! Help us fund manufacturing?"/>
    <n v="1000"/>
    <n v="1185"/>
    <x v="0"/>
    <x v="0"/>
    <x v="0"/>
    <n v="1336669200"/>
    <n v="1335473931"/>
    <b v="0"/>
    <x v="68"/>
    <b v="1"/>
    <x v="14"/>
    <x v="23"/>
    <n v="1092.5"/>
    <x v="4"/>
    <x v="14"/>
  </r>
  <r>
    <x v="2468"/>
    <x v="2468"/>
    <s v="Please donate, support &amp; share this project so that I may be able to record my new EP this fall!"/>
    <n v="2000"/>
    <n v="2144.34"/>
    <x v="0"/>
    <x v="0"/>
    <x v="0"/>
    <n v="1351400400"/>
    <n v="1348285321"/>
    <b v="0"/>
    <x v="6"/>
    <b v="1"/>
    <x v="14"/>
    <x v="1895"/>
    <n v="2072.17"/>
    <x v="4"/>
    <x v="14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x v="5"/>
    <b v="1"/>
    <x v="14"/>
    <x v="981"/>
    <n v="1282"/>
    <x v="4"/>
    <x v="14"/>
  </r>
  <r>
    <x v="2470"/>
    <x v="2470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x v="17"/>
    <b v="1"/>
    <x v="14"/>
    <x v="1896"/>
    <n v="1015.82"/>
    <x v="4"/>
    <x v="14"/>
  </r>
  <r>
    <x v="2471"/>
    <x v="2471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x v="57"/>
    <b v="1"/>
    <x v="14"/>
    <x v="602"/>
    <n v="570"/>
    <x v="4"/>
    <x v="14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x v="201"/>
    <b v="1"/>
    <x v="14"/>
    <x v="1897"/>
    <n v="8841.01"/>
    <x v="4"/>
    <x v="14"/>
  </r>
  <r>
    <x v="2473"/>
    <x v="2473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x v="5"/>
    <b v="1"/>
    <x v="14"/>
    <x v="31"/>
    <n v="2000"/>
    <x v="4"/>
    <x v="14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x v="44"/>
    <b v="1"/>
    <x v="14"/>
    <x v="1898"/>
    <n v="5000.09"/>
    <x v="4"/>
    <x v="14"/>
  </r>
  <r>
    <x v="2475"/>
    <x v="2475"/>
    <s v="Help BRANDTSON and DREAMOVERrecords press their 2004 record, &quot;Send Us A Signal&quot;."/>
    <n v="2500"/>
    <n v="2618"/>
    <x v="0"/>
    <x v="0"/>
    <x v="0"/>
    <n v="1278799200"/>
    <n v="1273647255"/>
    <b v="0"/>
    <x v="75"/>
    <b v="1"/>
    <x v="14"/>
    <x v="1262"/>
    <n v="2559"/>
    <x v="4"/>
    <x v="14"/>
  </r>
  <r>
    <x v="2476"/>
    <x v="2476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x v="165"/>
    <b v="1"/>
    <x v="14"/>
    <x v="1899"/>
    <n v="3280.3599999999997"/>
    <x v="4"/>
    <x v="14"/>
  </r>
  <r>
    <x v="2477"/>
    <x v="823"/>
    <s v="Releasing my first album in August, and I need your help in order to get it done!"/>
    <n v="750"/>
    <n v="1285"/>
    <x v="0"/>
    <x v="0"/>
    <x v="0"/>
    <n v="1344789345"/>
    <n v="1340901345"/>
    <b v="0"/>
    <x v="14"/>
    <b v="1"/>
    <x v="14"/>
    <x v="1900"/>
    <n v="1017.5"/>
    <x v="4"/>
    <x v="14"/>
  </r>
  <r>
    <x v="2478"/>
    <x v="2477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x v="1"/>
    <b v="1"/>
    <x v="14"/>
    <x v="1901"/>
    <n v="9100"/>
    <x v="4"/>
    <x v="14"/>
  </r>
  <r>
    <x v="2479"/>
    <x v="2478"/>
    <s v="Fake Natives is headed on tour this summer. Help them fill their tank with fossil fuels."/>
    <n v="300"/>
    <n v="400.33"/>
    <x v="0"/>
    <x v="0"/>
    <x v="0"/>
    <n v="1343440800"/>
    <n v="1342545994"/>
    <b v="0"/>
    <x v="38"/>
    <b v="1"/>
    <x v="14"/>
    <x v="1902"/>
    <n v="350.16499999999996"/>
    <x v="4"/>
    <x v="14"/>
  </r>
  <r>
    <x v="2480"/>
    <x v="2479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x v="22"/>
    <b v="1"/>
    <x v="14"/>
    <x v="31"/>
    <n v="2000"/>
    <x v="4"/>
    <x v="14"/>
  </r>
  <r>
    <x v="2481"/>
    <x v="2480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x v="195"/>
    <b v="1"/>
    <x v="14"/>
    <x v="1903"/>
    <n v="4258.2199999999993"/>
    <x v="4"/>
    <x v="14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x v="20"/>
    <b v="1"/>
    <x v="14"/>
    <x v="1787"/>
    <n v="1000.5"/>
    <x v="4"/>
    <x v="14"/>
  </r>
  <r>
    <x v="2483"/>
    <x v="2482"/>
    <s v="Send Intangible Animal on our first West Coast Tour!!! The fate of the world rests in your hands."/>
    <n v="1100"/>
    <n v="1251"/>
    <x v="0"/>
    <x v="0"/>
    <x v="0"/>
    <n v="1335891603"/>
    <n v="1330711203"/>
    <b v="0"/>
    <x v="10"/>
    <b v="1"/>
    <x v="14"/>
    <x v="1904"/>
    <n v="1175.5"/>
    <x v="4"/>
    <x v="14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x v="240"/>
    <b v="1"/>
    <x v="14"/>
    <x v="1905"/>
    <n v="3838.0549999999998"/>
    <x v="4"/>
    <x v="14"/>
  </r>
  <r>
    <x v="2485"/>
    <x v="2484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x v="14"/>
    <b v="1"/>
    <x v="14"/>
    <x v="1906"/>
    <n v="2032.5"/>
    <x v="4"/>
    <x v="14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x v="209"/>
    <b v="1"/>
    <x v="14"/>
    <x v="1907"/>
    <n v="548.5"/>
    <x v="4"/>
    <x v="14"/>
  </r>
  <r>
    <x v="2487"/>
    <x v="2486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x v="44"/>
    <b v="1"/>
    <x v="14"/>
    <x v="1908"/>
    <n v="1500.38"/>
    <x v="4"/>
    <x v="14"/>
  </r>
  <r>
    <x v="2488"/>
    <x v="2487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x v="71"/>
    <b v="1"/>
    <x v="14"/>
    <x v="1909"/>
    <n v="3100.5"/>
    <x v="4"/>
    <x v="14"/>
  </r>
  <r>
    <x v="2489"/>
    <x v="2488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x v="11"/>
    <b v="1"/>
    <x v="14"/>
    <x v="1910"/>
    <n v="4089.25"/>
    <x v="4"/>
    <x v="14"/>
  </r>
  <r>
    <x v="2490"/>
    <x v="2489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x v="38"/>
    <b v="1"/>
    <x v="14"/>
    <x v="1911"/>
    <n v="553.5"/>
    <x v="4"/>
    <x v="14"/>
  </r>
  <r>
    <x v="2491"/>
    <x v="2490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x v="73"/>
    <b v="1"/>
    <x v="14"/>
    <x v="1912"/>
    <n v="508"/>
    <x v="4"/>
    <x v="14"/>
  </r>
  <r>
    <x v="2492"/>
    <x v="2491"/>
    <s v="We're a band from Hawaii trying to produce our first EP and we need help!"/>
    <n v="600"/>
    <n v="750"/>
    <x v="0"/>
    <x v="0"/>
    <x v="0"/>
    <n v="1339840740"/>
    <n v="1335397188"/>
    <b v="0"/>
    <x v="74"/>
    <b v="1"/>
    <x v="14"/>
    <x v="1054"/>
    <n v="675"/>
    <x v="4"/>
    <x v="14"/>
  </r>
  <r>
    <x v="2493"/>
    <x v="2492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x v="461"/>
    <b v="1"/>
    <x v="14"/>
    <x v="1913"/>
    <n v="22870"/>
    <x v="4"/>
    <x v="14"/>
  </r>
  <r>
    <x v="2494"/>
    <x v="2493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x v="70"/>
    <b v="1"/>
    <x v="14"/>
    <x v="1914"/>
    <n v="1507.54"/>
    <x v="4"/>
    <x v="14"/>
  </r>
  <r>
    <x v="2495"/>
    <x v="2494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x v="288"/>
    <b v="1"/>
    <x v="14"/>
    <x v="1915"/>
    <n v="1706.5250000000001"/>
    <x v="4"/>
    <x v="14"/>
  </r>
  <r>
    <x v="2496"/>
    <x v="2495"/>
    <s v="Be a part of making the first Lynn Haven album, &quot;Fair Weather Friends.&quot;"/>
    <n v="6000"/>
    <n v="6000"/>
    <x v="0"/>
    <x v="0"/>
    <x v="0"/>
    <n v="1364597692"/>
    <n v="1361577292"/>
    <b v="0"/>
    <x v="73"/>
    <b v="1"/>
    <x v="14"/>
    <x v="31"/>
    <n v="6000"/>
    <x v="4"/>
    <x v="14"/>
  </r>
  <r>
    <x v="2497"/>
    <x v="2496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x v="66"/>
    <b v="1"/>
    <x v="14"/>
    <x v="1916"/>
    <n v="4255.43"/>
    <x v="4"/>
    <x v="14"/>
  </r>
  <r>
    <x v="2498"/>
    <x v="2497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x v="9"/>
    <b v="1"/>
    <x v="14"/>
    <x v="1917"/>
    <n v="1028"/>
    <x v="4"/>
    <x v="14"/>
  </r>
  <r>
    <x v="2499"/>
    <x v="2498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x v="203"/>
    <b v="1"/>
    <x v="14"/>
    <x v="1918"/>
    <n v="6052.5"/>
    <x v="4"/>
    <x v="14"/>
  </r>
  <r>
    <x v="2500"/>
    <x v="2499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x v="60"/>
    <b v="1"/>
    <x v="14"/>
    <x v="1614"/>
    <n v="640"/>
    <x v="4"/>
    <x v="14"/>
  </r>
  <r>
    <x v="2501"/>
    <x v="2500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x v="63"/>
    <b v="0"/>
    <x v="34"/>
    <x v="1919"/>
    <n v="5640.5"/>
    <x v="7"/>
    <x v="34"/>
  </r>
  <r>
    <x v="2502"/>
    <x v="2501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x v="81"/>
    <b v="0"/>
    <x v="34"/>
    <x v="1920"/>
    <n v="55043"/>
    <x v="7"/>
    <x v="34"/>
  </r>
  <r>
    <x v="2503"/>
    <x v="2502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x v="78"/>
    <b v="0"/>
    <x v="34"/>
    <x v="109"/>
    <n v="5000"/>
    <x v="7"/>
    <x v="34"/>
  </r>
  <r>
    <x v="2504"/>
    <x v="2503"/>
    <s v="Halal Restaurant and Internet Cafe 20 percent of profits will go to building masjids."/>
    <n v="35000"/>
    <n v="0"/>
    <x v="2"/>
    <x v="0"/>
    <x v="0"/>
    <n v="1416014534"/>
    <n v="1413418934"/>
    <b v="0"/>
    <x v="78"/>
    <b v="0"/>
    <x v="34"/>
    <x v="109"/>
    <n v="17500"/>
    <x v="7"/>
    <x v="34"/>
  </r>
  <r>
    <x v="2505"/>
    <x v="2504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x v="78"/>
    <b v="0"/>
    <x v="34"/>
    <x v="109"/>
    <n v="3500"/>
    <x v="7"/>
    <x v="34"/>
  </r>
  <r>
    <x v="2506"/>
    <x v="2505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x v="84"/>
    <b v="0"/>
    <x v="34"/>
    <x v="722"/>
    <n v="2515"/>
    <x v="7"/>
    <x v="34"/>
  </r>
  <r>
    <x v="2507"/>
    <x v="2506"/>
    <s v="Unique dishes for a unique city!."/>
    <n v="42850"/>
    <n v="0"/>
    <x v="2"/>
    <x v="0"/>
    <x v="0"/>
    <n v="1431308704"/>
    <n v="1428716704"/>
    <b v="0"/>
    <x v="78"/>
    <b v="0"/>
    <x v="34"/>
    <x v="109"/>
    <n v="21425"/>
    <x v="7"/>
    <x v="34"/>
  </r>
  <r>
    <x v="2508"/>
    <x v="2507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x v="78"/>
    <b v="0"/>
    <x v="34"/>
    <x v="109"/>
    <n v="10000"/>
    <x v="7"/>
    <x v="34"/>
  </r>
  <r>
    <x v="2509"/>
    <x v="2508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x v="33"/>
    <b v="0"/>
    <x v="34"/>
    <x v="1921"/>
    <n v="48000"/>
    <x v="7"/>
    <x v="34"/>
  </r>
  <r>
    <x v="2510"/>
    <x v="2509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x v="84"/>
    <b v="0"/>
    <x v="34"/>
    <x v="840"/>
    <n v="25037.5"/>
    <x v="7"/>
    <x v="34"/>
  </r>
  <r>
    <x v="2511"/>
    <x v="2510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x v="78"/>
    <b v="0"/>
    <x v="34"/>
    <x v="109"/>
    <n v="50000"/>
    <x v="7"/>
    <x v="34"/>
  </r>
  <r>
    <x v="2512"/>
    <x v="2511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x v="78"/>
    <b v="0"/>
    <x v="34"/>
    <x v="109"/>
    <n v="575"/>
    <x v="7"/>
    <x v="34"/>
  </r>
  <r>
    <x v="2513"/>
    <x v="2512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x v="78"/>
    <b v="0"/>
    <x v="34"/>
    <x v="109"/>
    <n v="90000"/>
    <x v="7"/>
    <x v="34"/>
  </r>
  <r>
    <x v="2514"/>
    <x v="2513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x v="80"/>
    <b v="0"/>
    <x v="34"/>
    <x v="1922"/>
    <n v="6105"/>
    <x v="7"/>
    <x v="34"/>
  </r>
  <r>
    <x v="2515"/>
    <x v="2514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x v="8"/>
    <b v="0"/>
    <x v="34"/>
    <x v="1923"/>
    <n v="2965"/>
    <x v="7"/>
    <x v="34"/>
  </r>
  <r>
    <x v="2516"/>
    <x v="2515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x v="78"/>
    <b v="0"/>
    <x v="34"/>
    <x v="109"/>
    <n v="11000"/>
    <x v="7"/>
    <x v="34"/>
  </r>
  <r>
    <x v="2517"/>
    <x v="2516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x v="51"/>
    <b v="0"/>
    <x v="34"/>
    <x v="1924"/>
    <n v="9883.5"/>
    <x v="7"/>
    <x v="34"/>
  </r>
  <r>
    <x v="2518"/>
    <x v="2517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x v="78"/>
    <b v="0"/>
    <x v="34"/>
    <x v="109"/>
    <n v="2500"/>
    <x v="7"/>
    <x v="34"/>
  </r>
  <r>
    <x v="2519"/>
    <x v="2518"/>
    <s v="Better than your mom's, better than Cracker Barrel, only at Kelli's Kitchen (all from scratch)."/>
    <n v="150000"/>
    <n v="65"/>
    <x v="2"/>
    <x v="0"/>
    <x v="0"/>
    <n v="1405741404"/>
    <n v="1403149404"/>
    <b v="0"/>
    <x v="80"/>
    <b v="0"/>
    <x v="34"/>
    <x v="1925"/>
    <n v="75032.5"/>
    <x v="7"/>
    <x v="34"/>
  </r>
  <r>
    <x v="2520"/>
    <x v="2519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x v="78"/>
    <b v="0"/>
    <x v="34"/>
    <x v="109"/>
    <n v="50000"/>
    <x v="7"/>
    <x v="34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x v="462"/>
    <b v="1"/>
    <x v="35"/>
    <x v="1926"/>
    <n v="13092.994999999999"/>
    <x v="4"/>
    <x v="35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x v="74"/>
    <b v="1"/>
    <x v="35"/>
    <x v="31"/>
    <n v="5000"/>
    <x v="4"/>
    <x v="35"/>
  </r>
  <r>
    <x v="2523"/>
    <x v="2522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x v="55"/>
    <b v="1"/>
    <x v="35"/>
    <x v="1927"/>
    <n v="1154"/>
    <x v="4"/>
    <x v="35"/>
  </r>
  <r>
    <x v="2524"/>
    <x v="2523"/>
    <s v="We're bringing some of our favorite music from the past 10 years to disc for the first time ever."/>
    <n v="7500"/>
    <n v="7620"/>
    <x v="0"/>
    <x v="0"/>
    <x v="0"/>
    <n v="1419136200"/>
    <n v="1416338557"/>
    <b v="0"/>
    <x v="68"/>
    <b v="1"/>
    <x v="35"/>
    <x v="264"/>
    <n v="7560"/>
    <x v="4"/>
    <x v="35"/>
  </r>
  <r>
    <x v="2525"/>
    <x v="2524"/>
    <s v="Husband and wife operatic team specializing in German opera. Fundraising for an audition tour of Germany."/>
    <n v="8000"/>
    <n v="8026"/>
    <x v="0"/>
    <x v="0"/>
    <x v="0"/>
    <n v="1340914571"/>
    <n v="1338322571"/>
    <b v="0"/>
    <x v="144"/>
    <b v="1"/>
    <x v="35"/>
    <x v="1928"/>
    <n v="8013"/>
    <x v="4"/>
    <x v="35"/>
  </r>
  <r>
    <x v="2526"/>
    <x v="2525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x v="51"/>
    <b v="1"/>
    <x v="35"/>
    <x v="1929"/>
    <n v="4259"/>
    <x v="4"/>
    <x v="35"/>
  </r>
  <r>
    <x v="2527"/>
    <x v="2526"/>
    <s v="Five Programs of Benjamin Britten's vocal works featuring over 20 extraordinary vocalists and pianists."/>
    <n v="4000"/>
    <n v="4085"/>
    <x v="0"/>
    <x v="0"/>
    <x v="0"/>
    <n v="1382068740"/>
    <n v="1380477691"/>
    <b v="0"/>
    <x v="26"/>
    <b v="1"/>
    <x v="35"/>
    <x v="1930"/>
    <n v="4042.5"/>
    <x v="4"/>
    <x v="35"/>
  </r>
  <r>
    <x v="2528"/>
    <x v="2527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x v="75"/>
    <b v="1"/>
    <x v="35"/>
    <x v="1931"/>
    <n v="4144.9949999999999"/>
    <x v="4"/>
    <x v="35"/>
  </r>
  <r>
    <x v="2529"/>
    <x v="2528"/>
    <s v="Opera. Short. New."/>
    <n v="6000"/>
    <n v="6257"/>
    <x v="0"/>
    <x v="0"/>
    <x v="0"/>
    <n v="1332636975"/>
    <n v="1328752575"/>
    <b v="0"/>
    <x v="88"/>
    <b v="1"/>
    <x v="35"/>
    <x v="1932"/>
    <n v="6128.5"/>
    <x v="4"/>
    <x v="35"/>
  </r>
  <r>
    <x v="2530"/>
    <x v="2529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x v="53"/>
    <b v="1"/>
    <x v="35"/>
    <x v="31"/>
    <n v="6500"/>
    <x v="4"/>
    <x v="35"/>
  </r>
  <r>
    <x v="2531"/>
    <x v="2530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x v="42"/>
    <b v="1"/>
    <x v="35"/>
    <x v="84"/>
    <n v="4509"/>
    <x v="4"/>
    <x v="35"/>
  </r>
  <r>
    <x v="2532"/>
    <x v="2531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x v="65"/>
    <b v="1"/>
    <x v="35"/>
    <x v="1933"/>
    <n v="4522.5"/>
    <x v="4"/>
    <x v="35"/>
  </r>
  <r>
    <x v="2533"/>
    <x v="2532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x v="327"/>
    <b v="1"/>
    <x v="35"/>
    <x v="1934"/>
    <n v="7900"/>
    <x v="4"/>
    <x v="35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x v="25"/>
    <b v="1"/>
    <x v="35"/>
    <x v="2"/>
    <n v="2050"/>
    <x v="4"/>
    <x v="35"/>
  </r>
  <r>
    <x v="2535"/>
    <x v="2534"/>
    <s v="Mark Hayes: Requiem Recording"/>
    <n v="20000"/>
    <n v="20755"/>
    <x v="0"/>
    <x v="0"/>
    <x v="0"/>
    <n v="1417463945"/>
    <n v="1414781945"/>
    <b v="0"/>
    <x v="76"/>
    <b v="1"/>
    <x v="35"/>
    <x v="640"/>
    <n v="20377.5"/>
    <x v="4"/>
    <x v="35"/>
  </r>
  <r>
    <x v="2536"/>
    <x v="2535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x v="80"/>
    <b v="1"/>
    <x v="35"/>
    <x v="1339"/>
    <n v="27"/>
    <x v="4"/>
    <x v="35"/>
  </r>
  <r>
    <x v="2537"/>
    <x v="2536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x v="202"/>
    <b v="1"/>
    <x v="35"/>
    <x v="1007"/>
    <n v="1050"/>
    <x v="4"/>
    <x v="35"/>
  </r>
  <r>
    <x v="2538"/>
    <x v="2537"/>
    <s v="I will record 2 of Tomaso Albinoni's concertos for 2 oboes playing both parts myself."/>
    <n v="18000"/>
    <n v="20343.169999999998"/>
    <x v="0"/>
    <x v="0"/>
    <x v="0"/>
    <n v="1361681940"/>
    <n v="1359029661"/>
    <b v="0"/>
    <x v="333"/>
    <b v="1"/>
    <x v="35"/>
    <x v="1935"/>
    <n v="19171.584999999999"/>
    <x v="4"/>
    <x v="35"/>
  </r>
  <r>
    <x v="2539"/>
    <x v="2538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x v="211"/>
    <b v="1"/>
    <x v="35"/>
    <x v="598"/>
    <n v="10012.5"/>
    <x v="4"/>
    <x v="35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x v="74"/>
    <b v="1"/>
    <x v="35"/>
    <x v="1936"/>
    <n v="2542.5"/>
    <x v="4"/>
    <x v="35"/>
  </r>
  <r>
    <x v="2541"/>
    <x v="2540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x v="287"/>
    <b v="1"/>
    <x v="35"/>
    <x v="1937"/>
    <n v="3623"/>
    <x v="4"/>
    <x v="35"/>
  </r>
  <r>
    <x v="2542"/>
    <x v="2541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x v="62"/>
    <b v="1"/>
    <x v="35"/>
    <x v="1938"/>
    <n v="712.5"/>
    <x v="4"/>
    <x v="35"/>
  </r>
  <r>
    <x v="2543"/>
    <x v="2542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x v="62"/>
    <b v="1"/>
    <x v="35"/>
    <x v="1939"/>
    <n v="320.5"/>
    <x v="4"/>
    <x v="35"/>
  </r>
  <r>
    <x v="2544"/>
    <x v="2543"/>
    <s v="Bringing choral music and performance opportunities to under-served youth in West Philadelphia"/>
    <n v="5000"/>
    <n v="5041"/>
    <x v="0"/>
    <x v="0"/>
    <x v="0"/>
    <n v="1341750569"/>
    <n v="1339158569"/>
    <b v="0"/>
    <x v="7"/>
    <b v="1"/>
    <x v="35"/>
    <x v="1940"/>
    <n v="5020.5"/>
    <x v="4"/>
    <x v="35"/>
  </r>
  <r>
    <x v="2545"/>
    <x v="2544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x v="42"/>
    <b v="1"/>
    <x v="35"/>
    <x v="1941"/>
    <n v="2953"/>
    <x v="4"/>
    <x v="35"/>
  </r>
  <r>
    <x v="2546"/>
    <x v="2545"/>
    <s v="We want to release an album of choral music by acclaimed Finnish composer Jaakko MÃ¤ntyjÃ¤rvi in 2014"/>
    <n v="3500"/>
    <n v="3910"/>
    <x v="0"/>
    <x v="0"/>
    <x v="0"/>
    <n v="1380949200"/>
    <n v="1378586179"/>
    <b v="0"/>
    <x v="71"/>
    <b v="1"/>
    <x v="35"/>
    <x v="1942"/>
    <n v="3705"/>
    <x v="4"/>
    <x v="35"/>
  </r>
  <r>
    <x v="2547"/>
    <x v="2546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x v="179"/>
    <b v="1"/>
    <x v="35"/>
    <x v="1943"/>
    <n v="6046"/>
    <x v="4"/>
    <x v="35"/>
  </r>
  <r>
    <x v="2548"/>
    <x v="2547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x v="77"/>
    <b v="1"/>
    <x v="35"/>
    <x v="1944"/>
    <n v="6055.5"/>
    <x v="4"/>
    <x v="35"/>
  </r>
  <r>
    <x v="2549"/>
    <x v="2548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x v="77"/>
    <b v="1"/>
    <x v="35"/>
    <x v="1945"/>
    <n v="1592"/>
    <x v="4"/>
    <x v="35"/>
  </r>
  <r>
    <x v="2550"/>
    <x v="2549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x v="3"/>
    <b v="1"/>
    <x v="35"/>
    <x v="1946"/>
    <n v="6527.5"/>
    <x v="4"/>
    <x v="35"/>
  </r>
  <r>
    <x v="2551"/>
    <x v="2550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x v="66"/>
    <b v="1"/>
    <x v="35"/>
    <x v="1947"/>
    <n v="3725.25"/>
    <x v="4"/>
    <x v="35"/>
  </r>
  <r>
    <x v="2552"/>
    <x v="2551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x v="59"/>
    <b v="1"/>
    <x v="35"/>
    <x v="1635"/>
    <n v="3097.5"/>
    <x v="4"/>
    <x v="35"/>
  </r>
  <r>
    <x v="2553"/>
    <x v="2552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x v="65"/>
    <b v="1"/>
    <x v="35"/>
    <x v="1948"/>
    <n v="1916.5"/>
    <x v="4"/>
    <x v="35"/>
  </r>
  <r>
    <x v="2554"/>
    <x v="2553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x v="85"/>
    <b v="1"/>
    <x v="35"/>
    <x v="1949"/>
    <n v="3342"/>
    <x v="4"/>
    <x v="35"/>
  </r>
  <r>
    <x v="2555"/>
    <x v="2554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x v="2"/>
    <b v="1"/>
    <x v="35"/>
    <x v="1950"/>
    <n v="2073.5"/>
    <x v="4"/>
    <x v="35"/>
  </r>
  <r>
    <x v="2556"/>
    <x v="2555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x v="69"/>
    <b v="1"/>
    <x v="35"/>
    <x v="1951"/>
    <n v="765.5"/>
    <x v="4"/>
    <x v="35"/>
  </r>
  <r>
    <x v="2557"/>
    <x v="2556"/>
    <s v="Raising money for our concert tour of Switzerland and Germany in June/July 2014"/>
    <n v="900"/>
    <n v="1066"/>
    <x v="0"/>
    <x v="1"/>
    <x v="1"/>
    <n v="1400176386"/>
    <n v="1397584386"/>
    <b v="0"/>
    <x v="17"/>
    <b v="1"/>
    <x v="35"/>
    <x v="1952"/>
    <n v="983"/>
    <x v="4"/>
    <x v="35"/>
  </r>
  <r>
    <x v="2558"/>
    <x v="2557"/>
    <s v="The Hopkins Sinfonia is looking for your support to run our 2015 Season made up of five concerts."/>
    <n v="1250"/>
    <n v="1361"/>
    <x v="0"/>
    <x v="2"/>
    <x v="2"/>
    <n v="1430488740"/>
    <n v="1427747906"/>
    <b v="0"/>
    <x v="59"/>
    <b v="1"/>
    <x v="35"/>
    <x v="1953"/>
    <n v="1305.5"/>
    <x v="4"/>
    <x v="35"/>
  </r>
  <r>
    <x v="2559"/>
    <x v="2558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x v="20"/>
    <b v="1"/>
    <x v="35"/>
    <x v="1954"/>
    <n v="845"/>
    <x v="4"/>
    <x v="35"/>
  </r>
  <r>
    <x v="2560"/>
    <x v="2559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x v="64"/>
    <b v="1"/>
    <x v="35"/>
    <x v="1787"/>
    <n v="3001.5"/>
    <x v="4"/>
    <x v="35"/>
  </r>
  <r>
    <x v="2561"/>
    <x v="2560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x v="78"/>
    <b v="0"/>
    <x v="19"/>
    <x v="109"/>
    <n v="50000"/>
    <x v="7"/>
    <x v="19"/>
  </r>
  <r>
    <x v="2562"/>
    <x v="2561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x v="83"/>
    <b v="0"/>
    <x v="19"/>
    <x v="571"/>
    <n v="5037.5"/>
    <x v="7"/>
    <x v="19"/>
  </r>
  <r>
    <x v="2563"/>
    <x v="2562"/>
    <s v="Michigan based bubble tea and specialty ice cream food truck"/>
    <n v="20000"/>
    <n v="0"/>
    <x v="1"/>
    <x v="0"/>
    <x v="0"/>
    <n v="1438226451"/>
    <n v="1433042451"/>
    <b v="0"/>
    <x v="78"/>
    <b v="0"/>
    <x v="19"/>
    <x v="109"/>
    <n v="10000"/>
    <x v="7"/>
    <x v="19"/>
  </r>
  <r>
    <x v="2564"/>
    <x v="2563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x v="78"/>
    <b v="0"/>
    <x v="19"/>
    <x v="109"/>
    <n v="20000"/>
    <x v="7"/>
    <x v="19"/>
  </r>
  <r>
    <x v="2565"/>
    <x v="2564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x v="29"/>
    <b v="0"/>
    <x v="19"/>
    <x v="460"/>
    <n v="5050"/>
    <x v="7"/>
    <x v="19"/>
  </r>
  <r>
    <x v="2566"/>
    <x v="2565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x v="78"/>
    <b v="0"/>
    <x v="19"/>
    <x v="109"/>
    <n v="17500"/>
    <x v="7"/>
    <x v="19"/>
  </r>
  <r>
    <x v="2567"/>
    <x v="2566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x v="84"/>
    <b v="0"/>
    <x v="19"/>
    <x v="480"/>
    <n v="22560"/>
    <x v="7"/>
    <x v="19"/>
  </r>
  <r>
    <x v="2568"/>
    <x v="2567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x v="29"/>
    <b v="0"/>
    <x v="19"/>
    <x v="724"/>
    <n v="5025"/>
    <x v="7"/>
    <x v="19"/>
  </r>
  <r>
    <x v="2569"/>
    <x v="2568"/>
    <s v="With your help, I would be able to get a truck and start the process of getting it ready for the 2016 season."/>
    <n v="6500"/>
    <n v="145"/>
    <x v="1"/>
    <x v="0"/>
    <x v="0"/>
    <n v="1442457112"/>
    <n v="1439865112"/>
    <b v="0"/>
    <x v="84"/>
    <b v="0"/>
    <x v="19"/>
    <x v="1955"/>
    <n v="3322.5"/>
    <x v="7"/>
    <x v="19"/>
  </r>
  <r>
    <x v="2570"/>
    <x v="2569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x v="84"/>
    <b v="0"/>
    <x v="19"/>
    <x v="1956"/>
    <n v="3529.5"/>
    <x v="7"/>
    <x v="19"/>
  </r>
  <r>
    <x v="2571"/>
    <x v="2570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x v="80"/>
    <b v="0"/>
    <x v="19"/>
    <x v="1161"/>
    <n v="50125"/>
    <x v="7"/>
    <x v="19"/>
  </r>
  <r>
    <x v="2572"/>
    <x v="2571"/>
    <s v="Mesquite smoked brisket nachos, food truck style, with homemade salsa to make your taste buds dance."/>
    <n v="30000"/>
    <n v="0"/>
    <x v="1"/>
    <x v="0"/>
    <x v="0"/>
    <n v="1428893517"/>
    <n v="1426301517"/>
    <b v="0"/>
    <x v="78"/>
    <b v="0"/>
    <x v="19"/>
    <x v="109"/>
    <n v="15000"/>
    <x v="7"/>
    <x v="19"/>
  </r>
  <r>
    <x v="2573"/>
    <x v="2572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x v="78"/>
    <b v="0"/>
    <x v="19"/>
    <x v="109"/>
    <n v="4000"/>
    <x v="7"/>
    <x v="19"/>
  </r>
  <r>
    <x v="2574"/>
    <x v="2573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x v="78"/>
    <b v="0"/>
    <x v="19"/>
    <x v="109"/>
    <n v="5000"/>
    <x v="7"/>
    <x v="19"/>
  </r>
  <r>
    <x v="2575"/>
    <x v="2574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x v="78"/>
    <b v="0"/>
    <x v="19"/>
    <x v="109"/>
    <n v="42500"/>
    <x v="7"/>
    <x v="19"/>
  </r>
  <r>
    <x v="2576"/>
    <x v="2575"/>
    <s v="A New Twist with an American and Philippine fast food Mobile Trailer."/>
    <n v="10000"/>
    <n v="0"/>
    <x v="1"/>
    <x v="0"/>
    <x v="0"/>
    <n v="1428707647"/>
    <n v="1424823247"/>
    <b v="0"/>
    <x v="78"/>
    <b v="0"/>
    <x v="19"/>
    <x v="109"/>
    <n v="5000"/>
    <x v="7"/>
    <x v="19"/>
  </r>
  <r>
    <x v="2577"/>
    <x v="2576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x v="78"/>
    <b v="0"/>
    <x v="19"/>
    <x v="109"/>
    <n v="7500"/>
    <x v="7"/>
    <x v="19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x v="78"/>
    <b v="0"/>
    <x v="19"/>
    <x v="109"/>
    <n v="3000"/>
    <x v="7"/>
    <x v="19"/>
  </r>
  <r>
    <x v="2579"/>
    <x v="2578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x v="8"/>
    <b v="0"/>
    <x v="19"/>
    <x v="1957"/>
    <n v="100138.5"/>
    <x v="7"/>
    <x v="19"/>
  </r>
  <r>
    <x v="2580"/>
    <x v="2579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x v="84"/>
    <b v="0"/>
    <x v="19"/>
    <x v="722"/>
    <n v="4275.5"/>
    <x v="7"/>
    <x v="19"/>
  </r>
  <r>
    <x v="2581"/>
    <x v="2580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x v="202"/>
    <b v="0"/>
    <x v="19"/>
    <x v="1958"/>
    <n v="2765"/>
    <x v="7"/>
    <x v="19"/>
  </r>
  <r>
    <x v="2582"/>
    <x v="2581"/>
    <s v="The place where chicken meets liquor for the first time!"/>
    <n v="90000"/>
    <n v="1"/>
    <x v="2"/>
    <x v="0"/>
    <x v="0"/>
    <n v="1477784634"/>
    <n v="1475192634"/>
    <b v="0"/>
    <x v="29"/>
    <b v="0"/>
    <x v="19"/>
    <x v="1959"/>
    <n v="45000.5"/>
    <x v="7"/>
    <x v="19"/>
  </r>
  <r>
    <x v="2583"/>
    <x v="2582"/>
    <s v="Crazy Daisy will become the newest member of the food truck distributors in Kansas City, Missouri."/>
    <n v="1000"/>
    <n v="5"/>
    <x v="2"/>
    <x v="0"/>
    <x v="0"/>
    <n v="1426526880"/>
    <n v="1421346480"/>
    <b v="0"/>
    <x v="81"/>
    <b v="0"/>
    <x v="19"/>
    <x v="724"/>
    <n v="502.5"/>
    <x v="7"/>
    <x v="19"/>
  </r>
  <r>
    <x v="2584"/>
    <x v="2583"/>
    <s v="Bringing quality food to the masses using local premium ingredients, but at a food truck price!"/>
    <n v="10000"/>
    <n v="0"/>
    <x v="2"/>
    <x v="0"/>
    <x v="0"/>
    <n v="1434341369"/>
    <n v="1431749369"/>
    <b v="0"/>
    <x v="78"/>
    <b v="0"/>
    <x v="19"/>
    <x v="109"/>
    <n v="5000"/>
    <x v="7"/>
    <x v="19"/>
  </r>
  <r>
    <x v="2585"/>
    <x v="2584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x v="29"/>
    <b v="0"/>
    <x v="19"/>
    <x v="874"/>
    <n v="15025"/>
    <x v="7"/>
    <x v="19"/>
  </r>
  <r>
    <x v="2586"/>
    <x v="2585"/>
    <s v="I would like to bring fresh salad and food to the streets of London at a reasonable price."/>
    <n v="3000"/>
    <n v="5"/>
    <x v="2"/>
    <x v="1"/>
    <x v="1"/>
    <n v="1451030136"/>
    <n v="1448438136"/>
    <b v="0"/>
    <x v="29"/>
    <b v="0"/>
    <x v="19"/>
    <x v="874"/>
    <n v="1502.5"/>
    <x v="7"/>
    <x v="19"/>
  </r>
  <r>
    <x v="2587"/>
    <x v="2586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x v="79"/>
    <b v="0"/>
    <x v="19"/>
    <x v="1960"/>
    <n v="25608.5"/>
    <x v="7"/>
    <x v="19"/>
  </r>
  <r>
    <x v="2588"/>
    <x v="2587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x v="22"/>
    <b v="0"/>
    <x v="19"/>
    <x v="1961"/>
    <n v="3116.5"/>
    <x v="7"/>
    <x v="19"/>
  </r>
  <r>
    <x v="2589"/>
    <x v="2588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x v="29"/>
    <b v="0"/>
    <x v="19"/>
    <x v="134"/>
    <n v="25002.5"/>
    <x v="7"/>
    <x v="19"/>
  </r>
  <r>
    <x v="2590"/>
    <x v="2589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x v="78"/>
    <b v="0"/>
    <x v="19"/>
    <x v="109"/>
    <n v="1500"/>
    <x v="7"/>
    <x v="19"/>
  </r>
  <r>
    <x v="2591"/>
    <x v="2590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x v="84"/>
    <b v="0"/>
    <x v="19"/>
    <x v="1651"/>
    <n v="763"/>
    <x v="7"/>
    <x v="19"/>
  </r>
  <r>
    <x v="2592"/>
    <x v="2591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x v="29"/>
    <b v="0"/>
    <x v="19"/>
    <x v="874"/>
    <n v="15025"/>
    <x v="7"/>
    <x v="19"/>
  </r>
  <r>
    <x v="2593"/>
    <x v="2592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x v="78"/>
    <b v="0"/>
    <x v="19"/>
    <x v="109"/>
    <n v="5000"/>
    <x v="7"/>
    <x v="19"/>
  </r>
  <r>
    <x v="2594"/>
    <x v="2593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x v="29"/>
    <b v="0"/>
    <x v="19"/>
    <x v="466"/>
    <n v="40000.5"/>
    <x v="7"/>
    <x v="19"/>
  </r>
  <r>
    <x v="2595"/>
    <x v="2594"/>
    <s v="Looking to put the best baked goods in Bowling Green on wheels"/>
    <n v="15000"/>
    <n v="1825"/>
    <x v="2"/>
    <x v="0"/>
    <x v="0"/>
    <n v="1487915500"/>
    <n v="1485323500"/>
    <b v="0"/>
    <x v="10"/>
    <b v="0"/>
    <x v="19"/>
    <x v="1962"/>
    <n v="8412.5"/>
    <x v="7"/>
    <x v="19"/>
  </r>
  <r>
    <x v="2596"/>
    <x v="2595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x v="74"/>
    <b v="0"/>
    <x v="19"/>
    <x v="1963"/>
    <n v="21628"/>
    <x v="7"/>
    <x v="19"/>
  </r>
  <r>
    <x v="2597"/>
    <x v="2596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x v="63"/>
    <b v="0"/>
    <x v="19"/>
    <x v="905"/>
    <n v="792.5"/>
    <x v="7"/>
    <x v="19"/>
  </r>
  <r>
    <x v="2598"/>
    <x v="2597"/>
    <s v="I'm ready to make Tulsa happy and aware that love and kindness go hand in hand with good food!"/>
    <n v="3000"/>
    <n v="1170"/>
    <x v="2"/>
    <x v="0"/>
    <x v="0"/>
    <n v="1443039001"/>
    <n v="1440447001"/>
    <b v="0"/>
    <x v="25"/>
    <b v="0"/>
    <x v="19"/>
    <x v="1964"/>
    <n v="2085"/>
    <x v="7"/>
    <x v="19"/>
  </r>
  <r>
    <x v="2599"/>
    <x v="2598"/>
    <s v="The Empty Ramekins Catering Group is looking for your help to start up in Miami Florida!!!!"/>
    <n v="9041"/>
    <n v="90"/>
    <x v="2"/>
    <x v="0"/>
    <x v="0"/>
    <n v="1407089147"/>
    <n v="1403201147"/>
    <b v="0"/>
    <x v="81"/>
    <b v="0"/>
    <x v="19"/>
    <x v="1965"/>
    <n v="4565.5"/>
    <x v="7"/>
    <x v="19"/>
  </r>
  <r>
    <x v="2600"/>
    <x v="2599"/>
    <s v="On Sunday November 8, 2015 our food truck burned to the ground. Please help us get rebuilt."/>
    <n v="50000"/>
    <n v="3466"/>
    <x v="2"/>
    <x v="0"/>
    <x v="0"/>
    <n v="1458938200"/>
    <n v="1453757800"/>
    <b v="0"/>
    <x v="209"/>
    <b v="0"/>
    <x v="19"/>
    <x v="1966"/>
    <n v="26733"/>
    <x v="7"/>
    <x v="19"/>
  </r>
  <r>
    <x v="2601"/>
    <x v="2600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x v="299"/>
    <b v="1"/>
    <x v="36"/>
    <x v="1967"/>
    <n v="1903.5"/>
    <x v="2"/>
    <x v="36"/>
  </r>
  <r>
    <x v="2602"/>
    <x v="2601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x v="463"/>
    <b v="1"/>
    <x v="36"/>
    <x v="1968"/>
    <n v="25565.5"/>
    <x v="2"/>
    <x v="36"/>
  </r>
  <r>
    <x v="2603"/>
    <x v="2602"/>
    <s v="I will be building a mock space station and simulate living on Mars for two weeks."/>
    <n v="1750"/>
    <n v="1776"/>
    <x v="0"/>
    <x v="0"/>
    <x v="0"/>
    <n v="1387835654"/>
    <n v="1386626054"/>
    <b v="1"/>
    <x v="133"/>
    <b v="1"/>
    <x v="36"/>
    <x v="1969"/>
    <n v="1763"/>
    <x v="2"/>
    <x v="36"/>
  </r>
  <r>
    <x v="2604"/>
    <x v="2603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x v="306"/>
    <b v="1"/>
    <x v="36"/>
    <x v="1970"/>
    <n v="20421.8"/>
    <x v="2"/>
    <x v="36"/>
  </r>
  <r>
    <x v="2605"/>
    <x v="2604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x v="464"/>
    <b v="1"/>
    <x v="36"/>
    <x v="1971"/>
    <n v="103710.785"/>
    <x v="2"/>
    <x v="36"/>
  </r>
  <r>
    <x v="2606"/>
    <x v="2605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x v="465"/>
    <b v="1"/>
    <x v="36"/>
    <x v="1972"/>
    <n v="11553"/>
    <x v="2"/>
    <x v="36"/>
  </r>
  <r>
    <x v="2607"/>
    <x v="2606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x v="367"/>
    <b v="1"/>
    <x v="36"/>
    <x v="1973"/>
    <n v="20308"/>
    <x v="2"/>
    <x v="36"/>
  </r>
  <r>
    <x v="2608"/>
    <x v="2607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x v="466"/>
    <b v="1"/>
    <x v="36"/>
    <x v="1974"/>
    <n v="12957"/>
    <x v="2"/>
    <x v="36"/>
  </r>
  <r>
    <x v="2609"/>
    <x v="2608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x v="467"/>
    <b v="1"/>
    <x v="36"/>
    <x v="1975"/>
    <n v="70665.195000000007"/>
    <x v="2"/>
    <x v="36"/>
  </r>
  <r>
    <x v="2610"/>
    <x v="2609"/>
    <s v="Preserve the telescope that Clyde Tombaugh used to discover Pluto for generations to come!"/>
    <n v="22765"/>
    <n v="32172.66"/>
    <x v="0"/>
    <x v="0"/>
    <x v="0"/>
    <n v="1471849140"/>
    <n v="1468444125"/>
    <b v="1"/>
    <x v="468"/>
    <b v="1"/>
    <x v="36"/>
    <x v="1976"/>
    <n v="27468.83"/>
    <x v="2"/>
    <x v="36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x v="469"/>
    <b v="1"/>
    <x v="36"/>
    <x v="1977"/>
    <n v="158985"/>
    <x v="2"/>
    <x v="36"/>
  </r>
  <r>
    <x v="2612"/>
    <x v="2611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x v="324"/>
    <b v="1"/>
    <x v="36"/>
    <x v="1978"/>
    <n v="13588.065000000001"/>
    <x v="2"/>
    <x v="36"/>
  </r>
  <r>
    <x v="2613"/>
    <x v="2612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x v="33"/>
    <b v="1"/>
    <x v="36"/>
    <x v="1979"/>
    <n v="7538"/>
    <x v="2"/>
    <x v="36"/>
  </r>
  <r>
    <x v="2614"/>
    <x v="2613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x v="61"/>
    <b v="1"/>
    <x v="36"/>
    <x v="607"/>
    <n v="10605"/>
    <x v="2"/>
    <x v="36"/>
  </r>
  <r>
    <x v="2615"/>
    <x v="2614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x v="250"/>
    <b v="1"/>
    <x v="36"/>
    <x v="1980"/>
    <n v="2699"/>
    <x v="2"/>
    <x v="36"/>
  </r>
  <r>
    <x v="2616"/>
    <x v="2615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x v="146"/>
    <b v="1"/>
    <x v="36"/>
    <x v="1981"/>
    <n v="26816.75"/>
    <x v="2"/>
    <x v="36"/>
  </r>
  <r>
    <x v="2617"/>
    <x v="2616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x v="180"/>
    <b v="1"/>
    <x v="36"/>
    <x v="1982"/>
    <n v="2444"/>
    <x v="2"/>
    <x v="36"/>
  </r>
  <r>
    <x v="2618"/>
    <x v="2617"/>
    <s v="LTD ED COLLECTIBLE SPACE ART FEAT. ASTRONAUTS"/>
    <n v="15000"/>
    <n v="15808"/>
    <x v="0"/>
    <x v="0"/>
    <x v="0"/>
    <n v="1449000061"/>
    <n v="1443812461"/>
    <b v="1"/>
    <x v="99"/>
    <b v="1"/>
    <x v="36"/>
    <x v="1983"/>
    <n v="15404"/>
    <x v="2"/>
    <x v="36"/>
  </r>
  <r>
    <x v="2619"/>
    <x v="2618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x v="28"/>
    <b v="1"/>
    <x v="36"/>
    <x v="1984"/>
    <n v="1442"/>
    <x v="2"/>
    <x v="36"/>
  </r>
  <r>
    <x v="2620"/>
    <x v="2619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x v="470"/>
    <b v="1"/>
    <x v="36"/>
    <x v="1985"/>
    <n v="79187"/>
    <x v="2"/>
    <x v="36"/>
  </r>
  <r>
    <x v="2621"/>
    <x v="2620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x v="471"/>
    <b v="1"/>
    <x v="36"/>
    <x v="1986"/>
    <n v="18441"/>
    <x v="2"/>
    <x v="36"/>
  </r>
  <r>
    <x v="2622"/>
    <x v="2621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x v="142"/>
    <b v="1"/>
    <x v="36"/>
    <x v="1987"/>
    <n v="1733.88"/>
    <x v="2"/>
    <x v="36"/>
  </r>
  <r>
    <x v="2623"/>
    <x v="2622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x v="95"/>
    <b v="1"/>
    <x v="36"/>
    <x v="430"/>
    <n v="2140"/>
    <x v="2"/>
    <x v="36"/>
  </r>
  <r>
    <x v="2624"/>
    <x v="2623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x v="472"/>
    <b v="1"/>
    <x v="36"/>
    <x v="1988"/>
    <n v="59176.824999999997"/>
    <x v="2"/>
    <x v="36"/>
  </r>
  <r>
    <x v="2625"/>
    <x v="2624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x v="47"/>
    <b v="1"/>
    <x v="36"/>
    <x v="1989"/>
    <n v="792"/>
    <x v="2"/>
    <x v="36"/>
  </r>
  <r>
    <x v="2626"/>
    <x v="2625"/>
    <s v="Support the accreditation of our online STEM Mentoring Program with the International Mentoring Association"/>
    <n v="2500"/>
    <n v="2800"/>
    <x v="0"/>
    <x v="0"/>
    <x v="0"/>
    <n v="1433343869"/>
    <n v="1430751869"/>
    <b v="0"/>
    <x v="133"/>
    <b v="1"/>
    <x v="36"/>
    <x v="1990"/>
    <n v="2650"/>
    <x v="2"/>
    <x v="36"/>
  </r>
  <r>
    <x v="2627"/>
    <x v="2626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x v="43"/>
    <b v="1"/>
    <x v="36"/>
    <x v="1991"/>
    <n v="560"/>
    <x v="2"/>
    <x v="36"/>
  </r>
  <r>
    <x v="2628"/>
    <x v="2627"/>
    <s v="A high school freshman is sending pie into space and you can be a part of it.  GO SCIENCE!!!"/>
    <n v="839"/>
    <n v="926"/>
    <x v="0"/>
    <x v="0"/>
    <x v="0"/>
    <n v="1417389067"/>
    <n v="1415661067"/>
    <b v="0"/>
    <x v="64"/>
    <b v="1"/>
    <x v="36"/>
    <x v="1992"/>
    <n v="882.5"/>
    <x v="2"/>
    <x v="36"/>
  </r>
  <r>
    <x v="2629"/>
    <x v="2628"/>
    <s v="The first international contest to let students shape the future of interstellar travel."/>
    <n v="5000"/>
    <n v="6387"/>
    <x v="0"/>
    <x v="1"/>
    <x v="1"/>
    <n v="1431608122"/>
    <n v="1429016122"/>
    <b v="0"/>
    <x v="61"/>
    <b v="1"/>
    <x v="36"/>
    <x v="1993"/>
    <n v="5693.5"/>
    <x v="2"/>
    <x v="36"/>
  </r>
  <r>
    <x v="2630"/>
    <x v="2629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x v="75"/>
    <b v="1"/>
    <x v="36"/>
    <x v="1994"/>
    <n v="2579"/>
    <x v="2"/>
    <x v="36"/>
  </r>
  <r>
    <x v="2631"/>
    <x v="2630"/>
    <s v="Starship Congress 2015 is a deep-space &amp; interstellar science summit staged by Icarus Interstellar."/>
    <n v="20000"/>
    <n v="22933.05"/>
    <x v="0"/>
    <x v="0"/>
    <x v="0"/>
    <n v="1440907427"/>
    <n v="1438488227"/>
    <b v="0"/>
    <x v="172"/>
    <b v="1"/>
    <x v="36"/>
    <x v="1995"/>
    <n v="21466.525000000001"/>
    <x v="2"/>
    <x v="36"/>
  </r>
  <r>
    <x v="2632"/>
    <x v="2631"/>
    <s v="Students from 3 universities are designing a dual stage rocket to test experimental rocket technology."/>
    <n v="1070"/>
    <n v="1466"/>
    <x v="0"/>
    <x v="0"/>
    <x v="0"/>
    <n v="1464485339"/>
    <n v="1462325339"/>
    <b v="0"/>
    <x v="288"/>
    <b v="1"/>
    <x v="36"/>
    <x v="1996"/>
    <n v="1268"/>
    <x v="2"/>
    <x v="36"/>
  </r>
  <r>
    <x v="2633"/>
    <x v="2632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x v="473"/>
    <b v="1"/>
    <x v="36"/>
    <x v="1997"/>
    <n v="11365.5"/>
    <x v="2"/>
    <x v="36"/>
  </r>
  <r>
    <x v="2634"/>
    <x v="2633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x v="20"/>
    <b v="1"/>
    <x v="36"/>
    <x v="1998"/>
    <n v="958"/>
    <x v="2"/>
    <x v="36"/>
  </r>
  <r>
    <x v="2635"/>
    <x v="2634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x v="87"/>
    <b v="1"/>
    <x v="36"/>
    <x v="31"/>
    <n v="11500"/>
    <x v="2"/>
    <x v="36"/>
  </r>
  <r>
    <x v="2636"/>
    <x v="2635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x v="133"/>
    <b v="1"/>
    <x v="36"/>
    <x v="1999"/>
    <n v="1436.5"/>
    <x v="2"/>
    <x v="36"/>
  </r>
  <r>
    <x v="2637"/>
    <x v="2636"/>
    <s v="Help us collect the data to solve the mystery of the century: Is light slowing down?"/>
    <n v="500"/>
    <n v="831"/>
    <x v="0"/>
    <x v="0"/>
    <x v="0"/>
    <n v="1476277875"/>
    <n v="1474895475"/>
    <b v="0"/>
    <x v="55"/>
    <b v="1"/>
    <x v="36"/>
    <x v="2000"/>
    <n v="665.5"/>
    <x v="2"/>
    <x v="36"/>
  </r>
  <r>
    <x v="2638"/>
    <x v="2637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x v="25"/>
    <b v="1"/>
    <x v="36"/>
    <x v="2001"/>
    <n v="350"/>
    <x v="2"/>
    <x v="36"/>
  </r>
  <r>
    <x v="2639"/>
    <x v="2638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x v="72"/>
    <b v="1"/>
    <x v="36"/>
    <x v="2002"/>
    <n v="396"/>
    <x v="2"/>
    <x v="36"/>
  </r>
  <r>
    <x v="2640"/>
    <x v="2639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x v="50"/>
    <b v="1"/>
    <x v="36"/>
    <x v="1719"/>
    <n v="3085"/>
    <x v="2"/>
    <x v="36"/>
  </r>
  <r>
    <x v="2641"/>
    <x v="2640"/>
    <s v="Building a Flying saucer that has Artificial Intelligent made from sea shell."/>
    <n v="1500"/>
    <n v="15"/>
    <x v="2"/>
    <x v="0"/>
    <x v="0"/>
    <n v="1410811740"/>
    <n v="1409341863"/>
    <b v="0"/>
    <x v="29"/>
    <b v="0"/>
    <x v="36"/>
    <x v="460"/>
    <n v="757.5"/>
    <x v="2"/>
    <x v="36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x v="78"/>
    <b v="0"/>
    <x v="36"/>
    <x v="109"/>
    <n v="250000"/>
    <x v="2"/>
    <x v="36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x v="474"/>
    <b v="0"/>
    <x v="36"/>
    <x v="2003"/>
    <n v="667798.65500000003"/>
    <x v="2"/>
    <x v="36"/>
  </r>
  <r>
    <x v="2644"/>
    <x v="2643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x v="47"/>
    <b v="0"/>
    <x v="36"/>
    <x v="2004"/>
    <n v="51026.5"/>
    <x v="2"/>
    <x v="36"/>
  </r>
  <r>
    <x v="2645"/>
    <x v="2644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x v="23"/>
    <b v="0"/>
    <x v="36"/>
    <x v="1131"/>
    <n v="11050"/>
    <x v="2"/>
    <x v="36"/>
  </r>
  <r>
    <x v="2646"/>
    <x v="2645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x v="475"/>
    <b v="0"/>
    <x v="36"/>
    <x v="2005"/>
    <n v="271043.21000000002"/>
    <x v="2"/>
    <x v="36"/>
  </r>
  <r>
    <x v="2647"/>
    <x v="2646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x v="83"/>
    <b v="0"/>
    <x v="36"/>
    <x v="2006"/>
    <n v="1268"/>
    <x v="2"/>
    <x v="36"/>
  </r>
  <r>
    <x v="2648"/>
    <x v="2647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x v="79"/>
    <b v="0"/>
    <x v="36"/>
    <x v="2007"/>
    <n v="6053"/>
    <x v="2"/>
    <x v="36"/>
  </r>
  <r>
    <x v="2649"/>
    <x v="2648"/>
    <s v="They have launched a Kickstarter."/>
    <n v="125000"/>
    <n v="124"/>
    <x v="1"/>
    <x v="0"/>
    <x v="0"/>
    <n v="1454370941"/>
    <n v="1449186941"/>
    <b v="0"/>
    <x v="83"/>
    <b v="0"/>
    <x v="36"/>
    <x v="2008"/>
    <n v="62562"/>
    <x v="2"/>
    <x v="36"/>
  </r>
  <r>
    <x v="2650"/>
    <x v="2649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x v="81"/>
    <b v="0"/>
    <x v="36"/>
    <x v="2009"/>
    <n v="30179"/>
    <x v="2"/>
    <x v="36"/>
  </r>
  <r>
    <x v="2651"/>
    <x v="2650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x v="57"/>
    <b v="0"/>
    <x v="36"/>
    <x v="2010"/>
    <n v="142616.5"/>
    <x v="2"/>
    <x v="36"/>
  </r>
  <r>
    <x v="2652"/>
    <x v="2651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x v="202"/>
    <b v="0"/>
    <x v="36"/>
    <x v="2011"/>
    <n v="50442.5"/>
    <x v="2"/>
    <x v="36"/>
  </r>
  <r>
    <x v="2653"/>
    <x v="2652"/>
    <s v="DREAM BIG. Explore the universe through STEAM education. (Science, Technology, Engineering, Art, Mathematics)"/>
    <n v="51000"/>
    <n v="5876"/>
    <x v="1"/>
    <x v="0"/>
    <x v="0"/>
    <n v="1402632000"/>
    <n v="1399909127"/>
    <b v="0"/>
    <x v="16"/>
    <b v="0"/>
    <x v="36"/>
    <x v="2012"/>
    <n v="28438"/>
    <x v="2"/>
    <x v="36"/>
  </r>
  <r>
    <x v="2654"/>
    <x v="2653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x v="79"/>
    <b v="0"/>
    <x v="36"/>
    <x v="2013"/>
    <n v="50025.5"/>
    <x v="2"/>
    <x v="36"/>
  </r>
  <r>
    <x v="2655"/>
    <x v="2654"/>
    <s v="Thank you for your support!"/>
    <n v="15000"/>
    <n v="3155"/>
    <x v="1"/>
    <x v="0"/>
    <x v="0"/>
    <n v="1455048000"/>
    <n v="1452631647"/>
    <b v="0"/>
    <x v="68"/>
    <b v="0"/>
    <x v="36"/>
    <x v="2014"/>
    <n v="9077.5"/>
    <x v="2"/>
    <x v="36"/>
  </r>
  <r>
    <x v="2656"/>
    <x v="2655"/>
    <s v="MoonWatcher will be bringing the Moon closer to all of us."/>
    <n v="150000"/>
    <n v="17155"/>
    <x v="1"/>
    <x v="0"/>
    <x v="0"/>
    <n v="1489345200"/>
    <n v="1485966688"/>
    <b v="0"/>
    <x v="215"/>
    <b v="0"/>
    <x v="36"/>
    <x v="2015"/>
    <n v="83577.5"/>
    <x v="2"/>
    <x v="36"/>
  </r>
  <r>
    <x v="2657"/>
    <x v="2656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x v="211"/>
    <b v="0"/>
    <x v="36"/>
    <x v="2016"/>
    <n v="17810.689999999999"/>
    <x v="2"/>
    <x v="36"/>
  </r>
  <r>
    <x v="2658"/>
    <x v="2657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x v="80"/>
    <b v="0"/>
    <x v="36"/>
    <x v="2017"/>
    <n v="49045.5"/>
    <x v="2"/>
    <x v="36"/>
  </r>
  <r>
    <x v="2659"/>
    <x v="2658"/>
    <s v="test"/>
    <n v="49000"/>
    <n v="1333"/>
    <x v="1"/>
    <x v="0"/>
    <x v="0"/>
    <n v="1429321210"/>
    <n v="1426729210"/>
    <b v="0"/>
    <x v="73"/>
    <b v="0"/>
    <x v="36"/>
    <x v="2018"/>
    <n v="25166.5"/>
    <x v="2"/>
    <x v="36"/>
  </r>
  <r>
    <x v="2660"/>
    <x v="2659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x v="81"/>
    <b v="0"/>
    <x v="36"/>
    <x v="2019"/>
    <n v="10009.5"/>
    <x v="2"/>
    <x v="36"/>
  </r>
  <r>
    <x v="2661"/>
    <x v="2660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x v="65"/>
    <b v="1"/>
    <x v="37"/>
    <x v="1335"/>
    <n v="5072.5"/>
    <x v="2"/>
    <x v="37"/>
  </r>
  <r>
    <x v="2662"/>
    <x v="2661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x v="144"/>
    <b v="1"/>
    <x v="37"/>
    <x v="2020"/>
    <n v="20680"/>
    <x v="2"/>
    <x v="37"/>
  </r>
  <r>
    <x v="2663"/>
    <x v="2662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x v="66"/>
    <b v="1"/>
    <x v="37"/>
    <x v="2021"/>
    <n v="20459.625"/>
    <x v="2"/>
    <x v="37"/>
  </r>
  <r>
    <x v="2664"/>
    <x v="2663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x v="201"/>
    <b v="1"/>
    <x v="37"/>
    <x v="2022"/>
    <n v="17800"/>
    <x v="2"/>
    <x v="37"/>
  </r>
  <r>
    <x v="2665"/>
    <x v="2664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x v="67"/>
    <b v="1"/>
    <x v="37"/>
    <x v="2023"/>
    <n v="3905"/>
    <x v="2"/>
    <x v="37"/>
  </r>
  <r>
    <x v="2666"/>
    <x v="2665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x v="190"/>
    <b v="1"/>
    <x v="37"/>
    <x v="2024"/>
    <n v="12964.755000000001"/>
    <x v="2"/>
    <x v="37"/>
  </r>
  <r>
    <x v="2667"/>
    <x v="2666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x v="59"/>
    <b v="1"/>
    <x v="37"/>
    <x v="1934"/>
    <n v="1580"/>
    <x v="2"/>
    <x v="37"/>
  </r>
  <r>
    <x v="2668"/>
    <x v="2667"/>
    <s v="Creativity on the go! |_x000a_CrÃ©ativitÃ© en mouvement !"/>
    <n v="1000"/>
    <n v="1707"/>
    <x v="0"/>
    <x v="5"/>
    <x v="5"/>
    <n v="1447079520"/>
    <n v="1443449265"/>
    <b v="0"/>
    <x v="33"/>
    <b v="1"/>
    <x v="37"/>
    <x v="2025"/>
    <n v="1353.5"/>
    <x v="2"/>
    <x v="37"/>
  </r>
  <r>
    <x v="2669"/>
    <x v="2668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x v="202"/>
    <b v="1"/>
    <x v="37"/>
    <x v="1239"/>
    <n v="900.5"/>
    <x v="2"/>
    <x v="37"/>
  </r>
  <r>
    <x v="2670"/>
    <x v="2669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x v="65"/>
    <b v="0"/>
    <x v="37"/>
    <x v="2026"/>
    <n v="20691.5"/>
    <x v="2"/>
    <x v="37"/>
  </r>
  <r>
    <x v="2671"/>
    <x v="2670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x v="87"/>
    <b v="0"/>
    <x v="37"/>
    <x v="2027"/>
    <n v="13918"/>
    <x v="2"/>
    <x v="37"/>
  </r>
  <r>
    <x v="2672"/>
    <x v="2671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x v="5"/>
    <b v="0"/>
    <x v="37"/>
    <x v="2028"/>
    <n v="6659.5"/>
    <x v="2"/>
    <x v="37"/>
  </r>
  <r>
    <x v="2673"/>
    <x v="2672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x v="36"/>
    <b v="0"/>
    <x v="37"/>
    <x v="2029"/>
    <n v="25516"/>
    <x v="2"/>
    <x v="37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x v="199"/>
    <b v="0"/>
    <x v="37"/>
    <x v="2030"/>
    <n v="28497"/>
    <x v="2"/>
    <x v="37"/>
  </r>
  <r>
    <x v="2675"/>
    <x v="2674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x v="60"/>
    <b v="0"/>
    <x v="37"/>
    <x v="2031"/>
    <n v="13448.5"/>
    <x v="2"/>
    <x v="37"/>
  </r>
  <r>
    <x v="2676"/>
    <x v="2675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x v="82"/>
    <b v="0"/>
    <x v="37"/>
    <x v="2032"/>
    <n v="1579"/>
    <x v="2"/>
    <x v="37"/>
  </r>
  <r>
    <x v="2677"/>
    <x v="2676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x v="74"/>
    <b v="0"/>
    <x v="37"/>
    <x v="2033"/>
    <n v="11457.5"/>
    <x v="2"/>
    <x v="37"/>
  </r>
  <r>
    <x v="2678"/>
    <x v="2677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x v="84"/>
    <b v="0"/>
    <x v="37"/>
    <x v="2034"/>
    <n v="4000550"/>
    <x v="2"/>
    <x v="37"/>
  </r>
  <r>
    <x v="2679"/>
    <x v="2678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x v="83"/>
    <b v="0"/>
    <x v="37"/>
    <x v="2035"/>
    <n v="20066"/>
    <x v="2"/>
    <x v="37"/>
  </r>
  <r>
    <x v="2680"/>
    <x v="2679"/>
    <s v="iHeartPillow, Connecting loved ones"/>
    <n v="32000"/>
    <n v="276"/>
    <x v="2"/>
    <x v="3"/>
    <x v="3"/>
    <n v="1459915491"/>
    <n v="1457327091"/>
    <b v="0"/>
    <x v="80"/>
    <b v="0"/>
    <x v="37"/>
    <x v="2036"/>
    <n v="16138"/>
    <x v="2"/>
    <x v="37"/>
  </r>
  <r>
    <x v="2681"/>
    <x v="2680"/>
    <s v="Jolly's Hot Dogs: A beef hot dog topped with deliciously seasoned ground beef, mustard and minced onions."/>
    <n v="8000"/>
    <n v="55"/>
    <x v="2"/>
    <x v="0"/>
    <x v="0"/>
    <n v="1405027750"/>
    <n v="1402867750"/>
    <b v="0"/>
    <x v="84"/>
    <b v="0"/>
    <x v="19"/>
    <x v="1839"/>
    <n v="4027.5"/>
    <x v="7"/>
    <x v="19"/>
  </r>
  <r>
    <x v="2682"/>
    <x v="2681"/>
    <s v="Gourmet Toast is the culinary combination, neigh, perfection of America's most under-utilized snack: Toast."/>
    <n v="6000"/>
    <n v="1698"/>
    <x v="2"/>
    <x v="0"/>
    <x v="0"/>
    <n v="1416635940"/>
    <n v="1413838540"/>
    <b v="0"/>
    <x v="9"/>
    <b v="0"/>
    <x v="19"/>
    <x v="2037"/>
    <n v="3849"/>
    <x v="7"/>
    <x v="19"/>
  </r>
  <r>
    <x v="2683"/>
    <x v="2682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x v="83"/>
    <b v="0"/>
    <x v="19"/>
    <x v="1156"/>
    <n v="7518"/>
    <x v="7"/>
    <x v="19"/>
  </r>
  <r>
    <x v="2684"/>
    <x v="2683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x v="80"/>
    <b v="0"/>
    <x v="19"/>
    <x v="736"/>
    <n v="35400"/>
    <x v="7"/>
    <x v="19"/>
  </r>
  <r>
    <x v="2685"/>
    <x v="2684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x v="29"/>
    <b v="0"/>
    <x v="19"/>
    <x v="459"/>
    <n v="25005"/>
    <x v="7"/>
    <x v="19"/>
  </r>
  <r>
    <x v="2686"/>
    <x v="2685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x v="78"/>
    <b v="0"/>
    <x v="19"/>
    <x v="109"/>
    <n v="15000"/>
    <x v="7"/>
    <x v="19"/>
  </r>
  <r>
    <x v="2687"/>
    <x v="2686"/>
    <s v="Your American Pizzas, Wings, Stuffed Gouda Burger, Sweet &amp; Russet Potato Fries served on a food Truck!!"/>
    <n v="15000"/>
    <n v="0"/>
    <x v="2"/>
    <x v="0"/>
    <x v="0"/>
    <n v="1435591318"/>
    <n v="1432999318"/>
    <b v="0"/>
    <x v="78"/>
    <b v="0"/>
    <x v="19"/>
    <x v="109"/>
    <n v="7500"/>
    <x v="7"/>
    <x v="19"/>
  </r>
  <r>
    <x v="2688"/>
    <x v="2687"/>
    <s v="The amazing gourmet Mac N Cheez Food Truck Campaigne!"/>
    <n v="50000"/>
    <n v="74"/>
    <x v="2"/>
    <x v="0"/>
    <x v="0"/>
    <n v="1424746800"/>
    <n v="1422067870"/>
    <b v="0"/>
    <x v="25"/>
    <b v="0"/>
    <x v="19"/>
    <x v="2038"/>
    <n v="25037"/>
    <x v="7"/>
    <x v="19"/>
  </r>
  <r>
    <x v="2689"/>
    <x v="2688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x v="29"/>
    <b v="0"/>
    <x v="19"/>
    <x v="1870"/>
    <n v="17500.5"/>
    <x v="7"/>
    <x v="19"/>
  </r>
  <r>
    <x v="2690"/>
    <x v="2689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x v="115"/>
    <b v="0"/>
    <x v="19"/>
    <x v="2039"/>
    <n v="44293"/>
    <x v="7"/>
    <x v="19"/>
  </r>
  <r>
    <x v="2691"/>
    <x v="2690"/>
    <s v="A Great New local Food Truck serving up ethnic fusion inspired eats in Ottawa."/>
    <n v="65000"/>
    <n v="35"/>
    <x v="2"/>
    <x v="5"/>
    <x v="5"/>
    <n v="1431278557"/>
    <n v="1427390557"/>
    <b v="0"/>
    <x v="84"/>
    <b v="0"/>
    <x v="19"/>
    <x v="2040"/>
    <n v="32517.5"/>
    <x v="7"/>
    <x v="19"/>
  </r>
  <r>
    <x v="2692"/>
    <x v="2691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x v="29"/>
    <b v="0"/>
    <x v="19"/>
    <x v="1154"/>
    <n v="1762.5"/>
    <x v="7"/>
    <x v="19"/>
  </r>
  <r>
    <x v="2693"/>
    <x v="2692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x v="83"/>
    <b v="0"/>
    <x v="19"/>
    <x v="417"/>
    <n v="2520"/>
    <x v="7"/>
    <x v="19"/>
  </r>
  <r>
    <x v="2694"/>
    <x v="2693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x v="29"/>
    <b v="0"/>
    <x v="19"/>
    <x v="372"/>
    <n v="15000.5"/>
    <x v="7"/>
    <x v="19"/>
  </r>
  <r>
    <x v="2695"/>
    <x v="2694"/>
    <s v="I am creating food magic on the go! Amazing food isn't just for sitdown restaraunts anymore!"/>
    <n v="15000"/>
    <n v="71"/>
    <x v="2"/>
    <x v="0"/>
    <x v="0"/>
    <n v="1428981718"/>
    <n v="1423801318"/>
    <b v="0"/>
    <x v="83"/>
    <b v="0"/>
    <x v="19"/>
    <x v="2041"/>
    <n v="7535.5"/>
    <x v="7"/>
    <x v="19"/>
  </r>
  <r>
    <x v="2696"/>
    <x v="2695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x v="44"/>
    <b v="0"/>
    <x v="19"/>
    <x v="2042"/>
    <n v="31695"/>
    <x v="7"/>
    <x v="19"/>
  </r>
  <r>
    <x v="2697"/>
    <x v="2696"/>
    <s v="Stuffed waffles made from Dough. Sweet, savory, salty and then stuffed with meats, fruits, and sauces!"/>
    <n v="23000"/>
    <n v="6061"/>
    <x v="2"/>
    <x v="0"/>
    <x v="0"/>
    <n v="1438552800"/>
    <n v="1435876423"/>
    <b v="0"/>
    <x v="47"/>
    <b v="0"/>
    <x v="19"/>
    <x v="2043"/>
    <n v="14530.5"/>
    <x v="7"/>
    <x v="19"/>
  </r>
  <r>
    <x v="2698"/>
    <x v="2697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x v="84"/>
    <b v="0"/>
    <x v="19"/>
    <x v="2044"/>
    <n v="4013.0050000000001"/>
    <x v="7"/>
    <x v="19"/>
  </r>
  <r>
    <x v="2699"/>
    <x v="2698"/>
    <s v="Hi, I want make my first bakery. Food truck was great, but I not have a car licence. So, help me to be my dream!"/>
    <n v="2"/>
    <n v="0"/>
    <x v="2"/>
    <x v="5"/>
    <x v="5"/>
    <n v="1407533463"/>
    <n v="1404941463"/>
    <b v="0"/>
    <x v="78"/>
    <b v="0"/>
    <x v="19"/>
    <x v="109"/>
    <n v="1"/>
    <x v="7"/>
    <x v="19"/>
  </r>
  <r>
    <x v="2700"/>
    <x v="2699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x v="80"/>
    <b v="0"/>
    <x v="19"/>
    <x v="2045"/>
    <n v="5034.5"/>
    <x v="7"/>
    <x v="19"/>
  </r>
  <r>
    <x v="2701"/>
    <x v="2700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x v="67"/>
    <b v="0"/>
    <x v="38"/>
    <x v="2046"/>
    <n v="2485"/>
    <x v="1"/>
    <x v="38"/>
  </r>
  <r>
    <x v="2702"/>
    <x v="2701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x v="55"/>
    <b v="0"/>
    <x v="38"/>
    <x v="2047"/>
    <n v="6720.5"/>
    <x v="1"/>
    <x v="38"/>
  </r>
  <r>
    <x v="2703"/>
    <x v="2702"/>
    <s v="Â¡Tu nuevo espacio cultural multidisciplinario en el centro de Pachuca, Hidalgo"/>
    <n v="40000"/>
    <n v="41500"/>
    <x v="3"/>
    <x v="14"/>
    <x v="10"/>
    <n v="1490196830"/>
    <n v="1485016430"/>
    <b v="0"/>
    <x v="43"/>
    <b v="0"/>
    <x v="38"/>
    <x v="603"/>
    <n v="40750"/>
    <x v="1"/>
    <x v="38"/>
  </r>
  <r>
    <x v="2704"/>
    <x v="2703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x v="63"/>
    <b v="0"/>
    <x v="38"/>
    <x v="2048"/>
    <n v="10072.5"/>
    <x v="1"/>
    <x v="38"/>
  </r>
  <r>
    <x v="2705"/>
    <x v="2704"/>
    <s v="Help light the lights at the historic Fischer Theatre in Danville, IL."/>
    <n v="16500"/>
    <n v="1739"/>
    <x v="3"/>
    <x v="0"/>
    <x v="0"/>
    <n v="1490389158"/>
    <n v="1486504758"/>
    <b v="0"/>
    <x v="22"/>
    <b v="0"/>
    <x v="38"/>
    <x v="2049"/>
    <n v="9119.5"/>
    <x v="1"/>
    <x v="38"/>
  </r>
  <r>
    <x v="2706"/>
    <x v="2705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x v="40"/>
    <b v="1"/>
    <x v="38"/>
    <x v="2050"/>
    <n v="37152"/>
    <x v="1"/>
    <x v="38"/>
  </r>
  <r>
    <x v="2707"/>
    <x v="2706"/>
    <s v="A new performance space in Seattle. A place for artists, comedians, and audiences to meet and collaborate!"/>
    <n v="8000"/>
    <n v="28067.57"/>
    <x v="0"/>
    <x v="0"/>
    <x v="0"/>
    <n v="1369637940"/>
    <n v="1367088443"/>
    <b v="1"/>
    <x v="476"/>
    <b v="1"/>
    <x v="38"/>
    <x v="2051"/>
    <n v="18033.785"/>
    <x v="1"/>
    <x v="38"/>
  </r>
  <r>
    <x v="2708"/>
    <x v="2707"/>
    <s v="Angel Comedy Club: A permanent home for Londonâ€™s loveliest comedy night - a community comedy club"/>
    <n v="20000"/>
    <n v="46643.07"/>
    <x v="0"/>
    <x v="1"/>
    <x v="1"/>
    <n v="1469119526"/>
    <n v="1463935526"/>
    <b v="1"/>
    <x v="477"/>
    <b v="1"/>
    <x v="38"/>
    <x v="2052"/>
    <n v="33321.535000000003"/>
    <x v="1"/>
    <x v="38"/>
  </r>
  <r>
    <x v="2709"/>
    <x v="2708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x v="478"/>
    <b v="1"/>
    <x v="38"/>
    <x v="2053"/>
    <n v="50401.5"/>
    <x v="1"/>
    <x v="38"/>
  </r>
  <r>
    <x v="2710"/>
    <x v="2709"/>
    <s v="Building Brooklyn's own creative venue for circus, theater and events of all types."/>
    <n v="60000"/>
    <n v="92340.21"/>
    <x v="0"/>
    <x v="0"/>
    <x v="0"/>
    <n v="1407549600"/>
    <n v="1404797428"/>
    <b v="1"/>
    <x v="479"/>
    <b v="1"/>
    <x v="38"/>
    <x v="2054"/>
    <n v="76170.10500000001"/>
    <x v="1"/>
    <x v="38"/>
  </r>
  <r>
    <x v="2711"/>
    <x v="2710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x v="196"/>
    <b v="1"/>
    <x v="38"/>
    <x v="2055"/>
    <n v="3924"/>
    <x v="1"/>
    <x v="38"/>
  </r>
  <r>
    <x v="2712"/>
    <x v="2711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x v="235"/>
    <b v="1"/>
    <x v="38"/>
    <x v="2056"/>
    <n v="6363"/>
    <x v="1"/>
    <x v="38"/>
  </r>
  <r>
    <x v="2713"/>
    <x v="2712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x v="480"/>
    <b v="1"/>
    <x v="38"/>
    <x v="2057"/>
    <n v="151681"/>
    <x v="1"/>
    <x v="38"/>
  </r>
  <r>
    <x v="2714"/>
    <x v="2713"/>
    <s v="The Crane will be the new home for independent theater in Northeast Minneapolis"/>
    <n v="25000"/>
    <n v="29089"/>
    <x v="0"/>
    <x v="0"/>
    <x v="0"/>
    <n v="1476486000"/>
    <n v="1474040596"/>
    <b v="1"/>
    <x v="120"/>
    <b v="1"/>
    <x v="38"/>
    <x v="2058"/>
    <n v="27044.5"/>
    <x v="1"/>
    <x v="38"/>
  </r>
  <r>
    <x v="2715"/>
    <x v="2714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x v="481"/>
    <b v="1"/>
    <x v="38"/>
    <x v="2059"/>
    <n v="21877.345000000001"/>
    <x v="1"/>
    <x v="3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x v="482"/>
    <b v="1"/>
    <x v="38"/>
    <x v="2060"/>
    <n v="10999.005000000001"/>
    <x v="1"/>
    <x v="38"/>
  </r>
  <r>
    <x v="2717"/>
    <x v="2716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x v="166"/>
    <b v="1"/>
    <x v="38"/>
    <x v="2061"/>
    <n v="27513"/>
    <x v="1"/>
    <x v="38"/>
  </r>
  <r>
    <x v="2718"/>
    <x v="2717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x v="265"/>
    <b v="1"/>
    <x v="38"/>
    <x v="2062"/>
    <n v="18322.5"/>
    <x v="1"/>
    <x v="38"/>
  </r>
  <r>
    <x v="2719"/>
    <x v="2718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x v="50"/>
    <b v="1"/>
    <x v="38"/>
    <x v="2063"/>
    <n v="6265"/>
    <x v="1"/>
    <x v="38"/>
  </r>
  <r>
    <x v="2720"/>
    <x v="2719"/>
    <s v="An improv, sketch and experimental comedy and cocktail venue in downtown Grand Rapids, Michigan"/>
    <n v="25000"/>
    <n v="29531"/>
    <x v="0"/>
    <x v="0"/>
    <x v="0"/>
    <n v="1478866253"/>
    <n v="1476270653"/>
    <b v="0"/>
    <x v="210"/>
    <b v="1"/>
    <x v="38"/>
    <x v="2064"/>
    <n v="27265.5"/>
    <x v="1"/>
    <x v="38"/>
  </r>
  <r>
    <x v="2721"/>
    <x v="2720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x v="314"/>
    <b v="1"/>
    <x v="30"/>
    <x v="2065"/>
    <n v="5857.5"/>
    <x v="2"/>
    <x v="30"/>
  </r>
  <r>
    <x v="2722"/>
    <x v="2721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x v="333"/>
    <b v="1"/>
    <x v="30"/>
    <x v="2066"/>
    <n v="8813.5"/>
    <x v="2"/>
    <x v="30"/>
  </r>
  <r>
    <x v="2723"/>
    <x v="2722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x v="282"/>
    <b v="1"/>
    <x v="30"/>
    <x v="2067"/>
    <n v="14403"/>
    <x v="2"/>
    <x v="30"/>
  </r>
  <r>
    <x v="2724"/>
    <x v="2723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x v="483"/>
    <b v="1"/>
    <x v="30"/>
    <x v="2068"/>
    <n v="4897.4400000000005"/>
    <x v="2"/>
    <x v="30"/>
  </r>
  <r>
    <x v="2725"/>
    <x v="2724"/>
    <s v="Best Net Zero energy solution for new or existing house (no more heating or electricity bills)."/>
    <n v="40000"/>
    <n v="57817"/>
    <x v="0"/>
    <x v="5"/>
    <x v="5"/>
    <n v="1488390735"/>
    <n v="1484070735"/>
    <b v="0"/>
    <x v="116"/>
    <b v="1"/>
    <x v="30"/>
    <x v="2069"/>
    <n v="48908.5"/>
    <x v="2"/>
    <x v="30"/>
  </r>
  <r>
    <x v="2726"/>
    <x v="2725"/>
    <s v="Krimston TWO: iPhone Dual SIM Case"/>
    <n v="100000"/>
    <n v="105745"/>
    <x v="0"/>
    <x v="0"/>
    <x v="0"/>
    <n v="1461333311"/>
    <n v="1458741311"/>
    <b v="0"/>
    <x v="442"/>
    <b v="1"/>
    <x v="30"/>
    <x v="2070"/>
    <n v="102872.5"/>
    <x v="2"/>
    <x v="30"/>
  </r>
  <r>
    <x v="2727"/>
    <x v="2726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x v="484"/>
    <b v="1"/>
    <x v="30"/>
    <x v="2071"/>
    <n v="29660.5"/>
    <x v="2"/>
    <x v="30"/>
  </r>
  <r>
    <x v="2728"/>
    <x v="2727"/>
    <s v="SSD, WiFi, RTC w/Battery and high power USB all in one shield."/>
    <n v="15000"/>
    <n v="30274"/>
    <x v="0"/>
    <x v="0"/>
    <x v="0"/>
    <n v="1451485434"/>
    <n v="1448461434"/>
    <b v="0"/>
    <x v="413"/>
    <b v="1"/>
    <x v="30"/>
    <x v="2072"/>
    <n v="22637"/>
    <x v="2"/>
    <x v="30"/>
  </r>
  <r>
    <x v="2729"/>
    <x v="2728"/>
    <s v="A luggage that is more than a luggage! It is what you want it to be."/>
    <n v="7500"/>
    <n v="7833"/>
    <x v="0"/>
    <x v="0"/>
    <x v="0"/>
    <n v="1430459197"/>
    <n v="1427867197"/>
    <b v="0"/>
    <x v="23"/>
    <b v="1"/>
    <x v="30"/>
    <x v="970"/>
    <n v="7666.5"/>
    <x v="2"/>
    <x v="30"/>
  </r>
  <r>
    <x v="2730"/>
    <x v="2729"/>
    <s v="The world's most powerful portable speaker and guitar amplifier. Turns any surface into a speaker."/>
    <n v="27000"/>
    <n v="45979.01"/>
    <x v="0"/>
    <x v="0"/>
    <x v="0"/>
    <n v="1366635575"/>
    <n v="1363611575"/>
    <b v="0"/>
    <x v="345"/>
    <b v="1"/>
    <x v="30"/>
    <x v="2073"/>
    <n v="36489.505000000005"/>
    <x v="2"/>
    <x v="30"/>
  </r>
  <r>
    <x v="2731"/>
    <x v="2730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x v="77"/>
    <b v="1"/>
    <x v="30"/>
    <x v="2074"/>
    <n v="30645.5"/>
    <x v="2"/>
    <x v="30"/>
  </r>
  <r>
    <x v="2732"/>
    <x v="2731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x v="96"/>
    <b v="1"/>
    <x v="30"/>
    <x v="2075"/>
    <n v="13095"/>
    <x v="2"/>
    <x v="30"/>
  </r>
  <r>
    <x v="2733"/>
    <x v="2732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x v="46"/>
    <b v="1"/>
    <x v="30"/>
    <x v="2076"/>
    <n v="51884.5"/>
    <x v="2"/>
    <x v="30"/>
  </r>
  <r>
    <x v="2734"/>
    <x v="2733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x v="430"/>
    <b v="1"/>
    <x v="30"/>
    <x v="2077"/>
    <n v="11302"/>
    <x v="2"/>
    <x v="30"/>
  </r>
  <r>
    <x v="2735"/>
    <x v="2734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x v="485"/>
    <b v="1"/>
    <x v="30"/>
    <x v="2078"/>
    <n v="4043.0050000000001"/>
    <x v="2"/>
    <x v="30"/>
  </r>
  <r>
    <x v="2736"/>
    <x v="2735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x v="6"/>
    <b v="1"/>
    <x v="30"/>
    <x v="2079"/>
    <n v="8916"/>
    <x v="2"/>
    <x v="30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x v="231"/>
    <b v="1"/>
    <x v="30"/>
    <x v="2080"/>
    <n v="51909.120000000003"/>
    <x v="2"/>
    <x v="30"/>
  </r>
  <r>
    <x v="2738"/>
    <x v="2737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x v="41"/>
    <b v="1"/>
    <x v="30"/>
    <x v="2081"/>
    <n v="6198.5"/>
    <x v="2"/>
    <x v="30"/>
  </r>
  <r>
    <x v="2739"/>
    <x v="2738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x v="277"/>
    <b v="1"/>
    <x v="30"/>
    <x v="2082"/>
    <n v="2662.5"/>
    <x v="2"/>
    <x v="30"/>
  </r>
  <r>
    <x v="2740"/>
    <x v="2739"/>
    <s v="I am interested in testing the plant yields of this vertical garden as well as some other applications"/>
    <n v="300"/>
    <n v="310"/>
    <x v="0"/>
    <x v="0"/>
    <x v="0"/>
    <n v="1426117552"/>
    <n v="1423529152"/>
    <b v="0"/>
    <x v="57"/>
    <b v="1"/>
    <x v="30"/>
    <x v="101"/>
    <n v="305"/>
    <x v="2"/>
    <x v="30"/>
  </r>
  <r>
    <x v="2741"/>
    <x v="2740"/>
    <s v="Help me publish my 1st children's book as an aspiring author!"/>
    <n v="8000"/>
    <n v="35"/>
    <x v="2"/>
    <x v="0"/>
    <x v="0"/>
    <n v="1413770820"/>
    <n v="1412005602"/>
    <b v="0"/>
    <x v="80"/>
    <b v="0"/>
    <x v="39"/>
    <x v="2083"/>
    <n v="4017.5"/>
    <x v="3"/>
    <x v="39"/>
  </r>
  <r>
    <x v="2742"/>
    <x v="2741"/>
    <s v="The pachyderms at the Denver Zoo are moving. Follow along on the convoluted journey to their new home."/>
    <n v="2500"/>
    <n v="731"/>
    <x v="2"/>
    <x v="0"/>
    <x v="0"/>
    <n v="1337102187"/>
    <n v="1335892587"/>
    <b v="0"/>
    <x v="59"/>
    <b v="0"/>
    <x v="39"/>
    <x v="2084"/>
    <n v="1615.5"/>
    <x v="3"/>
    <x v="39"/>
  </r>
  <r>
    <x v="2743"/>
    <x v="2742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x v="78"/>
    <b v="0"/>
    <x v="39"/>
    <x v="109"/>
    <n v="2999.5"/>
    <x v="3"/>
    <x v="39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x v="19"/>
    <b v="0"/>
    <x v="39"/>
    <x v="2085"/>
    <n v="8417.5"/>
    <x v="3"/>
    <x v="39"/>
  </r>
  <r>
    <x v="2745"/>
    <x v="2744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x v="72"/>
    <b v="0"/>
    <x v="39"/>
    <x v="2086"/>
    <n v="4875.5"/>
    <x v="3"/>
    <x v="39"/>
  </r>
  <r>
    <x v="2746"/>
    <x v="2745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x v="10"/>
    <b v="0"/>
    <x v="39"/>
    <x v="2087"/>
    <n v="1900.5"/>
    <x v="3"/>
    <x v="39"/>
  </r>
  <r>
    <x v="2747"/>
    <x v="2746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x v="80"/>
    <b v="0"/>
    <x v="39"/>
    <x v="2088"/>
    <n v="320"/>
    <x v="3"/>
    <x v="39"/>
  </r>
  <r>
    <x v="2748"/>
    <x v="2747"/>
    <s v="Interactive Book with Audio to learn the Ojibwe Language for Children.  Website, Ebook and more!"/>
    <n v="5000"/>
    <n v="53"/>
    <x v="2"/>
    <x v="0"/>
    <x v="0"/>
    <n v="1472835802"/>
    <n v="1470243802"/>
    <b v="0"/>
    <x v="80"/>
    <b v="0"/>
    <x v="39"/>
    <x v="550"/>
    <n v="2526.5"/>
    <x v="3"/>
    <x v="39"/>
  </r>
  <r>
    <x v="2749"/>
    <x v="2748"/>
    <s v="Self-publishing my children's book."/>
    <n v="10000"/>
    <n v="110"/>
    <x v="2"/>
    <x v="0"/>
    <x v="0"/>
    <n v="1428171037"/>
    <n v="1425582637"/>
    <b v="0"/>
    <x v="84"/>
    <b v="0"/>
    <x v="39"/>
    <x v="2089"/>
    <n v="5055"/>
    <x v="3"/>
    <x v="39"/>
  </r>
  <r>
    <x v="2750"/>
    <x v="2749"/>
    <s v="This is a journal where parents daily write something positive about their child.  Places for pictures, too."/>
    <n v="1999"/>
    <n v="0"/>
    <x v="2"/>
    <x v="0"/>
    <x v="0"/>
    <n v="1341086400"/>
    <n v="1340055345"/>
    <b v="0"/>
    <x v="78"/>
    <b v="0"/>
    <x v="39"/>
    <x v="109"/>
    <n v="999.5"/>
    <x v="3"/>
    <x v="39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x v="78"/>
    <b v="0"/>
    <x v="39"/>
    <x v="109"/>
    <n v="1637"/>
    <x v="3"/>
    <x v="39"/>
  </r>
  <r>
    <x v="2752"/>
    <x v="2751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x v="25"/>
    <b v="0"/>
    <x v="39"/>
    <x v="2090"/>
    <n v="2675"/>
    <x v="3"/>
    <x v="39"/>
  </r>
  <r>
    <x v="2753"/>
    <x v="2752"/>
    <s v="Written by my daughter and myself, illustrated by Jack Wiens. Everything is complete except for publishing."/>
    <n v="2000"/>
    <n v="380"/>
    <x v="2"/>
    <x v="0"/>
    <x v="0"/>
    <n v="1346017023"/>
    <n v="1343425023"/>
    <b v="0"/>
    <x v="22"/>
    <b v="0"/>
    <x v="39"/>
    <x v="2091"/>
    <n v="1190"/>
    <x v="3"/>
    <x v="39"/>
  </r>
  <r>
    <x v="2754"/>
    <x v="2753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x v="78"/>
    <b v="0"/>
    <x v="39"/>
    <x v="109"/>
    <n v="5000"/>
    <x v="3"/>
    <x v="39"/>
  </r>
  <r>
    <x v="2755"/>
    <x v="2754"/>
    <s v="Colourful and imaginative book app for children, will be relished especially by those with Irish roots."/>
    <n v="500"/>
    <n v="260"/>
    <x v="2"/>
    <x v="17"/>
    <x v="3"/>
    <n v="1428519527"/>
    <n v="1425927527"/>
    <b v="0"/>
    <x v="41"/>
    <b v="0"/>
    <x v="39"/>
    <x v="2092"/>
    <n v="380"/>
    <x v="3"/>
    <x v="39"/>
  </r>
  <r>
    <x v="2756"/>
    <x v="2755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x v="51"/>
    <b v="0"/>
    <x v="39"/>
    <x v="156"/>
    <n v="5524"/>
    <x v="3"/>
    <x v="39"/>
  </r>
  <r>
    <x v="2757"/>
    <x v="2756"/>
    <s v="A children's letter book that Lampoons Hillary Clinton"/>
    <n v="1500"/>
    <n v="10"/>
    <x v="2"/>
    <x v="0"/>
    <x v="0"/>
    <n v="1470498332"/>
    <n v="1469202332"/>
    <b v="0"/>
    <x v="84"/>
    <b v="0"/>
    <x v="39"/>
    <x v="886"/>
    <n v="755"/>
    <x v="3"/>
    <x v="39"/>
  </r>
  <r>
    <x v="2758"/>
    <x v="2757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x v="79"/>
    <b v="0"/>
    <x v="39"/>
    <x v="2093"/>
    <n v="1117"/>
    <x v="3"/>
    <x v="39"/>
  </r>
  <r>
    <x v="2759"/>
    <x v="2758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x v="84"/>
    <b v="0"/>
    <x v="39"/>
    <x v="1131"/>
    <n v="552.5"/>
    <x v="3"/>
    <x v="39"/>
  </r>
  <r>
    <x v="2760"/>
    <x v="2759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x v="78"/>
    <b v="0"/>
    <x v="39"/>
    <x v="109"/>
    <n v="2500"/>
    <x v="3"/>
    <x v="39"/>
  </r>
  <r>
    <x v="2761"/>
    <x v="2760"/>
    <s v="Help me give away 500 copies of my picture book so more kids will know US geography!"/>
    <n v="5000"/>
    <n v="36"/>
    <x v="2"/>
    <x v="0"/>
    <x v="0"/>
    <n v="1357176693"/>
    <n v="1354584693"/>
    <b v="0"/>
    <x v="80"/>
    <b v="0"/>
    <x v="39"/>
    <x v="174"/>
    <n v="2518"/>
    <x v="3"/>
    <x v="39"/>
  </r>
  <r>
    <x v="2762"/>
    <x v="2761"/>
    <s v="How-to book of toys and games constructed from materials found in nature, recyclable and easily available."/>
    <n v="3250"/>
    <n v="25"/>
    <x v="2"/>
    <x v="0"/>
    <x v="0"/>
    <n v="1332114795"/>
    <n v="1326934395"/>
    <b v="0"/>
    <x v="29"/>
    <b v="0"/>
    <x v="39"/>
    <x v="2094"/>
    <n v="1637.5"/>
    <x v="3"/>
    <x v="39"/>
  </r>
  <r>
    <x v="2763"/>
    <x v="2762"/>
    <s v="How Santa finds childrens homes without getting lost by following certain stars."/>
    <n v="39400"/>
    <n v="90"/>
    <x v="2"/>
    <x v="0"/>
    <x v="0"/>
    <n v="1369403684"/>
    <n v="1365515684"/>
    <b v="0"/>
    <x v="83"/>
    <b v="0"/>
    <x v="39"/>
    <x v="2095"/>
    <n v="19745"/>
    <x v="3"/>
    <x v="39"/>
  </r>
  <r>
    <x v="2764"/>
    <x v="2763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x v="80"/>
    <b v="0"/>
    <x v="39"/>
    <x v="2096"/>
    <n v="2022.5"/>
    <x v="3"/>
    <x v="39"/>
  </r>
  <r>
    <x v="2765"/>
    <x v="2764"/>
    <s v="I am writing an illustrated book for children ages 3 to 7 that meshes technology in everyday life stories."/>
    <n v="4000"/>
    <n v="0"/>
    <x v="2"/>
    <x v="0"/>
    <x v="0"/>
    <n v="1351432428"/>
    <n v="1350050028"/>
    <b v="0"/>
    <x v="78"/>
    <b v="0"/>
    <x v="39"/>
    <x v="109"/>
    <n v="2000"/>
    <x v="3"/>
    <x v="39"/>
  </r>
  <r>
    <x v="2766"/>
    <x v="2765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x v="80"/>
    <b v="0"/>
    <x v="39"/>
    <x v="172"/>
    <n v="2550"/>
    <x v="3"/>
    <x v="39"/>
  </r>
  <r>
    <x v="2767"/>
    <x v="2766"/>
    <s v="An animated bedtime story with Dedka, Babka and the rest of the family working together on a BIG problem"/>
    <n v="4000"/>
    <n v="34"/>
    <x v="2"/>
    <x v="5"/>
    <x v="5"/>
    <n v="1439766050"/>
    <n v="1434582050"/>
    <b v="0"/>
    <x v="83"/>
    <b v="0"/>
    <x v="39"/>
    <x v="1671"/>
    <n v="2017"/>
    <x v="3"/>
    <x v="39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x v="69"/>
    <b v="0"/>
    <x v="39"/>
    <x v="2097"/>
    <n v="4001"/>
    <x v="3"/>
    <x v="39"/>
  </r>
  <r>
    <x v="2769"/>
    <x v="2768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x v="84"/>
    <b v="0"/>
    <x v="39"/>
    <x v="1161"/>
    <n v="401"/>
    <x v="3"/>
    <x v="39"/>
  </r>
  <r>
    <x v="2770"/>
    <x v="2769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x v="51"/>
    <b v="0"/>
    <x v="39"/>
    <x v="2098"/>
    <n v="11041.125"/>
    <x v="3"/>
    <x v="39"/>
  </r>
  <r>
    <x v="2771"/>
    <x v="2770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x v="78"/>
    <b v="0"/>
    <x v="39"/>
    <x v="109"/>
    <n v="9990"/>
    <x v="3"/>
    <x v="39"/>
  </r>
  <r>
    <x v="2772"/>
    <x v="2771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x v="78"/>
    <b v="0"/>
    <x v="39"/>
    <x v="109"/>
    <n v="4000"/>
    <x v="3"/>
    <x v="39"/>
  </r>
  <r>
    <x v="2773"/>
    <x v="2772"/>
    <s v="Parents know the pain of rereading bad bedtime stories. I want to write stories that all ages will enjoy"/>
    <n v="530"/>
    <n v="1"/>
    <x v="2"/>
    <x v="5"/>
    <x v="5"/>
    <n v="1461530721"/>
    <n v="1460666721"/>
    <b v="0"/>
    <x v="29"/>
    <b v="0"/>
    <x v="39"/>
    <x v="2099"/>
    <n v="265.5"/>
    <x v="3"/>
    <x v="39"/>
  </r>
  <r>
    <x v="2774"/>
    <x v="2773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x v="62"/>
    <b v="0"/>
    <x v="39"/>
    <x v="2100"/>
    <n v="2285"/>
    <x v="3"/>
    <x v="39"/>
  </r>
  <r>
    <x v="2775"/>
    <x v="2774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x v="84"/>
    <b v="0"/>
    <x v="39"/>
    <x v="419"/>
    <n v="2575"/>
    <x v="3"/>
    <x v="39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x v="17"/>
    <b v="0"/>
    <x v="39"/>
    <x v="2101"/>
    <n v="11327.5"/>
    <x v="3"/>
    <x v="39"/>
  </r>
  <r>
    <x v="2777"/>
    <x v="2776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x v="29"/>
    <b v="0"/>
    <x v="39"/>
    <x v="119"/>
    <n v="1505"/>
    <x v="3"/>
    <x v="39"/>
  </r>
  <r>
    <x v="2778"/>
    <x v="2777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x v="41"/>
    <b v="0"/>
    <x v="39"/>
    <x v="2102"/>
    <n v="3452.5"/>
    <x v="3"/>
    <x v="39"/>
  </r>
  <r>
    <x v="2779"/>
    <x v="2778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x v="29"/>
    <b v="0"/>
    <x v="39"/>
    <x v="2103"/>
    <n v="1276.5"/>
    <x v="3"/>
    <x v="39"/>
  </r>
  <r>
    <x v="2780"/>
    <x v="2779"/>
    <s v="Turn the World with my kids, and then write a book with the advice for traveling with baby"/>
    <n v="100000"/>
    <n v="0"/>
    <x v="2"/>
    <x v="13"/>
    <x v="3"/>
    <n v="1489142688"/>
    <n v="1486550688"/>
    <b v="0"/>
    <x v="78"/>
    <b v="0"/>
    <x v="39"/>
    <x v="109"/>
    <n v="50000"/>
    <x v="3"/>
    <x v="39"/>
  </r>
  <r>
    <x v="2781"/>
    <x v="2780"/>
    <s v="STRIKE, DANCE AND RISE with us at the University of Utah to end violence against women and girls!"/>
    <n v="1250"/>
    <n v="1316"/>
    <x v="0"/>
    <x v="0"/>
    <x v="0"/>
    <n v="1423724400"/>
    <n v="1421274954"/>
    <b v="0"/>
    <x v="33"/>
    <b v="1"/>
    <x v="6"/>
    <x v="2104"/>
    <n v="1283"/>
    <x v="1"/>
    <x v="6"/>
  </r>
  <r>
    <x v="2782"/>
    <x v="2781"/>
    <s v="The premiere theatre troupe in SE Michigan offering acting opportunities for the 50+ actor."/>
    <n v="1000"/>
    <n v="1200"/>
    <x v="0"/>
    <x v="0"/>
    <x v="0"/>
    <n v="1424149140"/>
    <n v="1421964718"/>
    <b v="0"/>
    <x v="59"/>
    <b v="1"/>
    <x v="6"/>
    <x v="43"/>
    <n v="1100"/>
    <x v="1"/>
    <x v="6"/>
  </r>
  <r>
    <x v="2783"/>
    <x v="2782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x v="42"/>
    <b v="1"/>
    <x v="6"/>
    <x v="1444"/>
    <n v="1072.5"/>
    <x v="1"/>
    <x v="6"/>
  </r>
  <r>
    <x v="2784"/>
    <x v="2783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x v="52"/>
    <b v="1"/>
    <x v="6"/>
    <x v="984"/>
    <n v="6570"/>
    <x v="1"/>
    <x v="6"/>
  </r>
  <r>
    <x v="2785"/>
    <x v="2784"/>
    <s v="Bare Theatre and Raleigh Little Theatre present Shakespeare's epic, set in a post-apocalyptic dystopia."/>
    <n v="5000"/>
    <n v="5234"/>
    <x v="0"/>
    <x v="0"/>
    <x v="0"/>
    <n v="1470430800"/>
    <n v="1467865967"/>
    <b v="0"/>
    <x v="136"/>
    <b v="1"/>
    <x v="6"/>
    <x v="212"/>
    <n v="5117"/>
    <x v="1"/>
    <x v="6"/>
  </r>
  <r>
    <x v="2786"/>
    <x v="2785"/>
    <s v="A heart-melting farce about sex, art and the lovelorn lay-abouts of London-town."/>
    <n v="2500"/>
    <n v="2946"/>
    <x v="0"/>
    <x v="1"/>
    <x v="1"/>
    <n v="1404913180"/>
    <n v="1403703580"/>
    <b v="0"/>
    <x v="142"/>
    <b v="1"/>
    <x v="6"/>
    <x v="2105"/>
    <n v="2723"/>
    <x v="1"/>
    <x v="6"/>
  </r>
  <r>
    <x v="2787"/>
    <x v="2786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x v="44"/>
    <b v="1"/>
    <x v="6"/>
    <x v="2106"/>
    <n v="1098.5"/>
    <x v="1"/>
    <x v="6"/>
  </r>
  <r>
    <x v="2788"/>
    <x v="2787"/>
    <s v="MOVING FORWARD! WE HAVE REACHED GOAL BUT HAVE MORE TIME!! PLEASE CONSIDER PLEDGING."/>
    <n v="2000"/>
    <n v="2050"/>
    <x v="0"/>
    <x v="0"/>
    <x v="0"/>
    <n v="1469811043"/>
    <n v="1467219043"/>
    <b v="0"/>
    <x v="9"/>
    <b v="1"/>
    <x v="6"/>
    <x v="78"/>
    <n v="2025"/>
    <x v="1"/>
    <x v="6"/>
  </r>
  <r>
    <x v="2789"/>
    <x v="2788"/>
    <s v="BNT's Biggest Adventure So Far: Our 2015 full length production!"/>
    <n v="3000"/>
    <n v="3035"/>
    <x v="0"/>
    <x v="0"/>
    <x v="0"/>
    <n v="1426132800"/>
    <n v="1424477934"/>
    <b v="0"/>
    <x v="54"/>
    <b v="1"/>
    <x v="6"/>
    <x v="2107"/>
    <n v="3017.5"/>
    <x v="1"/>
    <x v="6"/>
  </r>
  <r>
    <x v="2790"/>
    <x v="2789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x v="36"/>
    <b v="1"/>
    <x v="6"/>
    <x v="2108"/>
    <n v="3080"/>
    <x v="1"/>
    <x v="6"/>
  </r>
  <r>
    <x v="2791"/>
    <x v="2790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x v="33"/>
    <b v="1"/>
    <x v="6"/>
    <x v="78"/>
    <n v="2025"/>
    <x v="1"/>
    <x v="6"/>
  </r>
  <r>
    <x v="2792"/>
    <x v="2791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x v="54"/>
    <b v="1"/>
    <x v="6"/>
    <x v="2109"/>
    <n v="2076"/>
    <x v="1"/>
    <x v="6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x v="196"/>
    <b v="1"/>
    <x v="6"/>
    <x v="2110"/>
    <n v="10528.375"/>
    <x v="1"/>
    <x v="6"/>
  </r>
  <r>
    <x v="2794"/>
    <x v="2793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x v="83"/>
    <b v="1"/>
    <x v="6"/>
    <x v="2111"/>
    <n v="62.5"/>
    <x v="1"/>
    <x v="6"/>
  </r>
  <r>
    <x v="2795"/>
    <x v="2794"/>
    <s v="A new play about five bad bitches who fought in the Civil War disguised as men, premiering at Ars Nova's ANT Fest."/>
    <n v="700"/>
    <n v="730"/>
    <x v="0"/>
    <x v="0"/>
    <x v="0"/>
    <n v="1402095600"/>
    <n v="1400675841"/>
    <b v="0"/>
    <x v="9"/>
    <b v="1"/>
    <x v="6"/>
    <x v="2112"/>
    <n v="715"/>
    <x v="1"/>
    <x v="6"/>
  </r>
  <r>
    <x v="2796"/>
    <x v="2795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x v="64"/>
    <b v="1"/>
    <x v="6"/>
    <x v="2113"/>
    <n v="862"/>
    <x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x v="225"/>
    <b v="1"/>
    <x v="6"/>
    <x v="2114"/>
    <n v="8105.8050000000003"/>
    <x v="1"/>
    <x v="6"/>
  </r>
  <r>
    <x v="2798"/>
    <x v="2797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x v="237"/>
    <b v="1"/>
    <x v="6"/>
    <x v="578"/>
    <n v="5035"/>
    <x v="1"/>
    <x v="6"/>
  </r>
  <r>
    <x v="2799"/>
    <x v="2798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x v="208"/>
    <b v="1"/>
    <x v="6"/>
    <x v="2115"/>
    <n v="5415.87"/>
    <x v="1"/>
    <x v="6"/>
  </r>
  <r>
    <x v="2800"/>
    <x v="2799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x v="162"/>
    <b v="1"/>
    <x v="6"/>
    <x v="2116"/>
    <n v="1165"/>
    <x v="1"/>
    <x v="6"/>
  </r>
  <r>
    <x v="2801"/>
    <x v="2800"/>
    <s v="Arise Theatre Company's production of August Strindberg's expressionist masterpiece 'A Dream Play'."/>
    <n v="500"/>
    <n v="666"/>
    <x v="0"/>
    <x v="2"/>
    <x v="2"/>
    <n v="1412938800"/>
    <n v="1411019409"/>
    <b v="0"/>
    <x v="62"/>
    <b v="1"/>
    <x v="6"/>
    <x v="2117"/>
    <n v="583"/>
    <x v="1"/>
    <x v="6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x v="240"/>
    <b v="1"/>
    <x v="6"/>
    <x v="2118"/>
    <n v="3027.5"/>
    <x v="1"/>
    <x v="6"/>
  </r>
  <r>
    <x v="2803"/>
    <x v="2802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x v="261"/>
    <b v="1"/>
    <x v="6"/>
    <x v="2119"/>
    <n v="11397.5"/>
    <x v="1"/>
    <x v="6"/>
  </r>
  <r>
    <x v="2804"/>
    <x v="2803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x v="23"/>
    <b v="1"/>
    <x v="6"/>
    <x v="935"/>
    <n v="1075"/>
    <x v="1"/>
    <x v="6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x v="59"/>
    <b v="1"/>
    <x v="6"/>
    <x v="1007"/>
    <n v="420"/>
    <x v="1"/>
    <x v="6"/>
  </r>
  <r>
    <x v="2806"/>
    <x v="2805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x v="88"/>
    <b v="1"/>
    <x v="6"/>
    <x v="2120"/>
    <n v="3181.5"/>
    <x v="1"/>
    <x v="6"/>
  </r>
  <r>
    <x v="2807"/>
    <x v="2806"/>
    <s v="Bringing Shakespeare back to the Playwrights"/>
    <n v="5000"/>
    <n v="6300"/>
    <x v="0"/>
    <x v="0"/>
    <x v="0"/>
    <n v="1435611438"/>
    <n v="1433019438"/>
    <b v="0"/>
    <x v="251"/>
    <b v="1"/>
    <x v="6"/>
    <x v="582"/>
    <n v="5650"/>
    <x v="1"/>
    <x v="6"/>
  </r>
  <r>
    <x v="2808"/>
    <x v="2807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x v="50"/>
    <b v="1"/>
    <x v="6"/>
    <x v="2121"/>
    <n v="4505.5"/>
    <x v="1"/>
    <x v="6"/>
  </r>
  <r>
    <x v="2809"/>
    <x v="2808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x v="64"/>
    <b v="1"/>
    <x v="6"/>
    <x v="2122"/>
    <n v="2530"/>
    <x v="1"/>
    <x v="6"/>
  </r>
  <r>
    <x v="2810"/>
    <x v="2809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x v="7"/>
    <b v="1"/>
    <x v="6"/>
    <x v="2123"/>
    <n v="2602.5"/>
    <x v="1"/>
    <x v="6"/>
  </r>
  <r>
    <x v="2811"/>
    <x v="2810"/>
    <s v="Ray Gunn and Starburst is an audio sci-fi/comedy sending up the tropes of classic and pulp science-fiction."/>
    <n v="10000"/>
    <n v="10027"/>
    <x v="0"/>
    <x v="1"/>
    <x v="1"/>
    <n v="1424692503"/>
    <n v="1422100503"/>
    <b v="0"/>
    <x v="52"/>
    <b v="1"/>
    <x v="6"/>
    <x v="2124"/>
    <n v="10013.5"/>
    <x v="1"/>
    <x v="6"/>
  </r>
  <r>
    <x v="2812"/>
    <x v="2811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x v="183"/>
    <b v="1"/>
    <x v="6"/>
    <x v="2125"/>
    <n v="5332.5"/>
    <x v="1"/>
    <x v="6"/>
  </r>
  <r>
    <x v="2813"/>
    <x v="2812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x v="93"/>
    <b v="1"/>
    <x v="6"/>
    <x v="2126"/>
    <n v="3186.06"/>
    <x v="1"/>
    <x v="6"/>
  </r>
  <r>
    <x v="2814"/>
    <x v="2813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x v="31"/>
    <b v="1"/>
    <x v="6"/>
    <x v="2127"/>
    <n v="1558"/>
    <x v="1"/>
    <x v="6"/>
  </r>
  <r>
    <x v="2815"/>
    <x v="2814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x v="25"/>
    <b v="1"/>
    <x v="6"/>
    <x v="1003"/>
    <n v="427.5"/>
    <x v="1"/>
    <x v="6"/>
  </r>
  <r>
    <x v="2816"/>
    <x v="2815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x v="39"/>
    <b v="1"/>
    <x v="6"/>
    <x v="2128"/>
    <n v="3623.5"/>
    <x v="1"/>
    <x v="6"/>
  </r>
  <r>
    <x v="2817"/>
    <x v="2816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x v="51"/>
    <b v="1"/>
    <x v="6"/>
    <x v="2129"/>
    <n v="690"/>
    <x v="1"/>
    <x v="6"/>
  </r>
  <r>
    <x v="2818"/>
    <x v="2817"/>
    <s v="Joe West and his wonderful theater company THEATER OF DEATH present original plays both horrific and comical."/>
    <n v="10000"/>
    <n v="10603"/>
    <x v="0"/>
    <x v="0"/>
    <x v="0"/>
    <n v="1443018086"/>
    <n v="1441290086"/>
    <b v="0"/>
    <x v="332"/>
    <b v="1"/>
    <x v="6"/>
    <x v="2130"/>
    <n v="10301.5"/>
    <x v="1"/>
    <x v="6"/>
  </r>
  <r>
    <x v="2819"/>
    <x v="2818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x v="201"/>
    <b v="1"/>
    <x v="6"/>
    <x v="2131"/>
    <n v="5120"/>
    <x v="1"/>
    <x v="6"/>
  </r>
  <r>
    <x v="2820"/>
    <x v="2819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x v="9"/>
    <b v="1"/>
    <x v="6"/>
    <x v="1627"/>
    <n v="236"/>
    <x v="1"/>
    <x v="6"/>
  </r>
  <r>
    <x v="2821"/>
    <x v="2820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x v="2"/>
    <b v="1"/>
    <x v="6"/>
    <x v="31"/>
    <n v="1000"/>
    <x v="1"/>
    <x v="6"/>
  </r>
  <r>
    <x v="2822"/>
    <x v="2821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x v="225"/>
    <b v="1"/>
    <x v="6"/>
    <x v="31"/>
    <n v="6000"/>
    <x v="1"/>
    <x v="6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x v="25"/>
    <b v="1"/>
    <x v="6"/>
    <x v="1014"/>
    <n v="112"/>
    <x v="1"/>
    <x v="6"/>
  </r>
  <r>
    <x v="2824"/>
    <x v="2823"/>
    <s v="I wrote a One Act play called The Rooftop for a Female Playwright's festival. Every little bit helps!"/>
    <n v="650"/>
    <n v="760"/>
    <x v="0"/>
    <x v="0"/>
    <x v="0"/>
    <n v="1434159780"/>
    <n v="1431412196"/>
    <b v="0"/>
    <x v="41"/>
    <b v="1"/>
    <x v="6"/>
    <x v="2132"/>
    <n v="705"/>
    <x v="1"/>
    <x v="6"/>
  </r>
  <r>
    <x v="2825"/>
    <x v="2824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x v="13"/>
    <b v="1"/>
    <x v="6"/>
    <x v="101"/>
    <n v="3050"/>
    <x v="1"/>
    <x v="6"/>
  </r>
  <r>
    <x v="2826"/>
    <x v="2825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x v="10"/>
    <b v="1"/>
    <x v="6"/>
    <x v="2133"/>
    <n v="2077.5"/>
    <x v="1"/>
    <x v="6"/>
  </r>
  <r>
    <x v="2827"/>
    <x v="2826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x v="23"/>
    <b v="1"/>
    <x v="6"/>
    <x v="966"/>
    <n v="2202.5"/>
    <x v="1"/>
    <x v="6"/>
  </r>
  <r>
    <x v="2828"/>
    <x v="2827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x v="174"/>
    <b v="1"/>
    <x v="6"/>
    <x v="2134"/>
    <n v="9518"/>
    <x v="1"/>
    <x v="6"/>
  </r>
  <r>
    <x v="2829"/>
    <x v="2828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x v="88"/>
    <b v="1"/>
    <x v="6"/>
    <x v="2135"/>
    <n v="2581.5"/>
    <x v="1"/>
    <x v="6"/>
  </r>
  <r>
    <x v="2830"/>
    <x v="2829"/>
    <s v="Avalon is a new South African Township play and Nakhtik is a  danced political lecture."/>
    <n v="3000"/>
    <n v="3000"/>
    <x v="0"/>
    <x v="0"/>
    <x v="0"/>
    <n v="1399867140"/>
    <n v="1398802148"/>
    <b v="0"/>
    <x v="202"/>
    <b v="1"/>
    <x v="6"/>
    <x v="31"/>
    <n v="3000"/>
    <x v="1"/>
    <x v="6"/>
  </r>
  <r>
    <x v="2831"/>
    <x v="2830"/>
    <s v="We each wrote a play and would like to produce them for you for nothing more than art's sake!"/>
    <n v="3000"/>
    <n v="3320"/>
    <x v="0"/>
    <x v="0"/>
    <x v="0"/>
    <n v="1437076070"/>
    <n v="1434484070"/>
    <b v="0"/>
    <x v="47"/>
    <b v="1"/>
    <x v="6"/>
    <x v="1934"/>
    <n v="3160"/>
    <x v="1"/>
    <x v="6"/>
  </r>
  <r>
    <x v="2832"/>
    <x v="2831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x v="195"/>
    <b v="1"/>
    <x v="6"/>
    <x v="2136"/>
    <n v="2683.9949999999999"/>
    <x v="1"/>
    <x v="6"/>
  </r>
  <r>
    <x v="2833"/>
    <x v="2832"/>
    <s v="A new play about exploring outer space"/>
    <n v="2700"/>
    <n v="2923"/>
    <x v="0"/>
    <x v="0"/>
    <x v="0"/>
    <n v="1444528800"/>
    <n v="1442804633"/>
    <b v="0"/>
    <x v="2"/>
    <b v="1"/>
    <x v="6"/>
    <x v="2137"/>
    <n v="2811.5"/>
    <x v="1"/>
    <x v="6"/>
  </r>
  <r>
    <x v="2834"/>
    <x v="2833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x v="64"/>
    <b v="1"/>
    <x v="6"/>
    <x v="2138"/>
    <n v="1080"/>
    <x v="1"/>
    <x v="6"/>
  </r>
  <r>
    <x v="2835"/>
    <x v="2834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x v="251"/>
    <b v="1"/>
    <x v="6"/>
    <x v="2139"/>
    <n v="1435.4949999999999"/>
    <x v="1"/>
    <x v="6"/>
  </r>
  <r>
    <x v="2836"/>
    <x v="2835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x v="202"/>
    <b v="1"/>
    <x v="6"/>
    <x v="919"/>
    <n v="467.5"/>
    <x v="1"/>
    <x v="6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x v="64"/>
    <b v="1"/>
    <x v="6"/>
    <x v="31"/>
    <n v="850"/>
    <x v="1"/>
    <x v="6"/>
  </r>
  <r>
    <x v="2838"/>
    <x v="2837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x v="241"/>
    <b v="1"/>
    <x v="6"/>
    <x v="966"/>
    <n v="2202.5"/>
    <x v="1"/>
    <x v="6"/>
  </r>
  <r>
    <x v="2839"/>
    <x v="2838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x v="162"/>
    <b v="1"/>
    <x v="6"/>
    <x v="2140"/>
    <n v="3700"/>
    <x v="1"/>
    <x v="6"/>
  </r>
  <r>
    <x v="2840"/>
    <x v="2839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x v="462"/>
    <b v="1"/>
    <x v="6"/>
    <x v="87"/>
    <n v="2550"/>
    <x v="1"/>
    <x v="6"/>
  </r>
  <r>
    <x v="2841"/>
    <x v="2840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x v="29"/>
    <b v="0"/>
    <x v="6"/>
    <x v="460"/>
    <n v="505"/>
    <x v="1"/>
    <x v="6"/>
  </r>
  <r>
    <x v="2842"/>
    <x v="2841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x v="78"/>
    <b v="0"/>
    <x v="6"/>
    <x v="109"/>
    <n v="750"/>
    <x v="1"/>
    <x v="6"/>
  </r>
  <r>
    <x v="2843"/>
    <x v="2842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x v="78"/>
    <b v="0"/>
    <x v="6"/>
    <x v="109"/>
    <n v="600"/>
    <x v="1"/>
    <x v="6"/>
  </r>
  <r>
    <x v="2844"/>
    <x v="2843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x v="29"/>
    <b v="0"/>
    <x v="6"/>
    <x v="2141"/>
    <n v="290"/>
    <x v="1"/>
    <x v="6"/>
  </r>
  <r>
    <x v="2845"/>
    <x v="2844"/>
    <s v="The Maderati: A bitingly witty absurdest comedy, which pokes wickedly perceptive fun at NY artist lifestyle."/>
    <n v="7500"/>
    <n v="2366"/>
    <x v="2"/>
    <x v="0"/>
    <x v="0"/>
    <n v="1433723033"/>
    <n v="1428539033"/>
    <b v="0"/>
    <x v="70"/>
    <b v="0"/>
    <x v="6"/>
    <x v="2142"/>
    <n v="4933"/>
    <x v="1"/>
    <x v="6"/>
  </r>
  <r>
    <x v="2846"/>
    <x v="2845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x v="78"/>
    <b v="0"/>
    <x v="6"/>
    <x v="109"/>
    <n v="4000"/>
    <x v="1"/>
    <x v="6"/>
  </r>
  <r>
    <x v="2847"/>
    <x v="2846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x v="78"/>
    <b v="0"/>
    <x v="6"/>
    <x v="109"/>
    <n v="1000"/>
    <x v="1"/>
    <x v="6"/>
  </r>
  <r>
    <x v="2848"/>
    <x v="2847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x v="83"/>
    <b v="0"/>
    <x v="6"/>
    <x v="418"/>
    <n v="17535"/>
    <x v="1"/>
    <x v="6"/>
  </r>
  <r>
    <x v="2849"/>
    <x v="2848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x v="29"/>
    <b v="0"/>
    <x v="6"/>
    <x v="460"/>
    <n v="252.5"/>
    <x v="1"/>
    <x v="6"/>
  </r>
  <r>
    <x v="2850"/>
    <x v="2849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x v="62"/>
    <b v="0"/>
    <x v="6"/>
    <x v="2143"/>
    <n v="4155.5"/>
    <x v="1"/>
    <x v="6"/>
  </r>
  <r>
    <x v="2851"/>
    <x v="2850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x v="78"/>
    <b v="0"/>
    <x v="6"/>
    <x v="109"/>
    <n v="2250"/>
    <x v="1"/>
    <x v="6"/>
  </r>
  <r>
    <x v="2852"/>
    <x v="2851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x v="79"/>
    <b v="0"/>
    <x v="6"/>
    <x v="1160"/>
    <n v="2547.5"/>
    <x v="1"/>
    <x v="6"/>
  </r>
  <r>
    <x v="2853"/>
    <x v="2852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x v="78"/>
    <b v="0"/>
    <x v="6"/>
    <x v="109"/>
    <n v="4750"/>
    <x v="1"/>
    <x v="6"/>
  </r>
  <r>
    <x v="2854"/>
    <x v="2853"/>
    <s v="Almost Random Theatre's play about a candidate - with no policies - who is seeking election in May 2015"/>
    <n v="1000"/>
    <n v="417"/>
    <x v="2"/>
    <x v="1"/>
    <x v="1"/>
    <n v="1431018719"/>
    <n v="1429290719"/>
    <b v="0"/>
    <x v="25"/>
    <b v="0"/>
    <x v="6"/>
    <x v="2144"/>
    <n v="708.5"/>
    <x v="1"/>
    <x v="6"/>
  </r>
  <r>
    <x v="2855"/>
    <x v="2854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x v="81"/>
    <b v="0"/>
    <x v="6"/>
    <x v="2145"/>
    <n v="450"/>
    <x v="1"/>
    <x v="6"/>
  </r>
  <r>
    <x v="2856"/>
    <x v="2855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x v="79"/>
    <b v="0"/>
    <x v="6"/>
    <x v="2146"/>
    <n v="1573"/>
    <x v="1"/>
    <x v="6"/>
  </r>
  <r>
    <x v="2857"/>
    <x v="2856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x v="41"/>
    <b v="0"/>
    <x v="6"/>
    <x v="2147"/>
    <n v="22750"/>
    <x v="1"/>
    <x v="6"/>
  </r>
  <r>
    <x v="2858"/>
    <x v="2857"/>
    <s v="Een Gay Party in het centrum van Amersfoort. _x000a_Een geweldige avond uit, met een show, optredens en DJ's."/>
    <n v="1000"/>
    <n v="0"/>
    <x v="2"/>
    <x v="9"/>
    <x v="3"/>
    <n v="1417778880"/>
    <n v="1415711095"/>
    <b v="0"/>
    <x v="78"/>
    <b v="0"/>
    <x v="6"/>
    <x v="109"/>
    <n v="500"/>
    <x v="1"/>
    <x v="6"/>
  </r>
  <r>
    <x v="2859"/>
    <x v="2858"/>
    <s v="A theatre company that will create works to inspire young people and get everyone involved."/>
    <n v="2000"/>
    <n v="35"/>
    <x v="2"/>
    <x v="2"/>
    <x v="2"/>
    <n v="1444984904"/>
    <n v="1439800904"/>
    <b v="0"/>
    <x v="29"/>
    <b v="0"/>
    <x v="6"/>
    <x v="1922"/>
    <n v="1017.5"/>
    <x v="1"/>
    <x v="6"/>
  </r>
  <r>
    <x v="2860"/>
    <x v="2859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x v="82"/>
    <b v="0"/>
    <x v="6"/>
    <x v="2148"/>
    <n v="2133"/>
    <x v="1"/>
    <x v="6"/>
  </r>
  <r>
    <x v="2861"/>
    <x v="2860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x v="83"/>
    <b v="0"/>
    <x v="6"/>
    <x v="2149"/>
    <n v="165"/>
    <x v="1"/>
    <x v="6"/>
  </r>
  <r>
    <x v="2862"/>
    <x v="2861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x v="83"/>
    <b v="0"/>
    <x v="6"/>
    <x v="2150"/>
    <n v="6377.5"/>
    <x v="1"/>
    <x v="6"/>
  </r>
  <r>
    <x v="2863"/>
    <x v="2862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x v="29"/>
    <b v="0"/>
    <x v="6"/>
    <x v="167"/>
    <n v="25010"/>
    <x v="1"/>
    <x v="6"/>
  </r>
  <r>
    <x v="2864"/>
    <x v="2863"/>
    <s v="Accessible, original theatre for all!"/>
    <n v="2500"/>
    <n v="40"/>
    <x v="2"/>
    <x v="1"/>
    <x v="1"/>
    <n v="1437139080"/>
    <n v="1434552207"/>
    <b v="0"/>
    <x v="83"/>
    <b v="0"/>
    <x v="6"/>
    <x v="1462"/>
    <n v="1270"/>
    <x v="1"/>
    <x v="6"/>
  </r>
  <r>
    <x v="2865"/>
    <x v="2864"/>
    <s v="Prepare to be Swept Away. Three short plays from three master playwrights; LANDFALL, SNIPER and DANGERS of TOBACCO!"/>
    <n v="2888"/>
    <n v="0"/>
    <x v="2"/>
    <x v="0"/>
    <x v="0"/>
    <n v="1420512259"/>
    <n v="1415328259"/>
    <b v="0"/>
    <x v="78"/>
    <b v="0"/>
    <x v="6"/>
    <x v="109"/>
    <n v="1444"/>
    <x v="1"/>
    <x v="6"/>
  </r>
  <r>
    <x v="2866"/>
    <x v="2865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x v="84"/>
    <b v="0"/>
    <x v="6"/>
    <x v="2151"/>
    <n v="2522.5"/>
    <x v="1"/>
    <x v="6"/>
  </r>
  <r>
    <x v="2867"/>
    <x v="2866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x v="73"/>
    <b v="0"/>
    <x v="6"/>
    <x v="2152"/>
    <n v="1502"/>
    <x v="1"/>
    <x v="6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x v="65"/>
    <b v="0"/>
    <x v="6"/>
    <x v="2153"/>
    <n v="10650.880000000001"/>
    <x v="1"/>
    <x v="6"/>
  </r>
  <r>
    <x v="2869"/>
    <x v="2868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x v="81"/>
    <b v="0"/>
    <x v="6"/>
    <x v="2011"/>
    <n v="10088.5"/>
    <x v="1"/>
    <x v="6"/>
  </r>
  <r>
    <x v="2870"/>
    <x v="2869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x v="82"/>
    <b v="0"/>
    <x v="6"/>
    <x v="2154"/>
    <n v="2875"/>
    <x v="1"/>
    <x v="6"/>
  </r>
  <r>
    <x v="2871"/>
    <x v="2870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x v="62"/>
    <b v="0"/>
    <x v="6"/>
    <x v="2155"/>
    <n v="5233.5"/>
    <x v="1"/>
    <x v="6"/>
  </r>
  <r>
    <x v="2872"/>
    <x v="2871"/>
    <s v="Local Theatre group in Loudoun County, Virginia. Looking for funds to start producing shows!"/>
    <n v="3000"/>
    <n v="0"/>
    <x v="2"/>
    <x v="0"/>
    <x v="0"/>
    <n v="1434768438"/>
    <n v="1429584438"/>
    <b v="0"/>
    <x v="78"/>
    <b v="0"/>
    <x v="6"/>
    <x v="109"/>
    <n v="1500"/>
    <x v="1"/>
    <x v="6"/>
  </r>
  <r>
    <x v="2873"/>
    <x v="2872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x v="22"/>
    <b v="0"/>
    <x v="6"/>
    <x v="2156"/>
    <n v="1726.5"/>
    <x v="1"/>
    <x v="6"/>
  </r>
  <r>
    <x v="2874"/>
    <x v="2873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x v="83"/>
    <b v="0"/>
    <x v="6"/>
    <x v="1656"/>
    <n v="2635.5"/>
    <x v="1"/>
    <x v="6"/>
  </r>
  <r>
    <x v="2875"/>
    <x v="2874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x v="83"/>
    <b v="0"/>
    <x v="6"/>
    <x v="2157"/>
    <n v="10003.5"/>
    <x v="1"/>
    <x v="6"/>
  </r>
  <r>
    <x v="2876"/>
    <x v="2875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x v="78"/>
    <b v="0"/>
    <x v="6"/>
    <x v="109"/>
    <n v="75000"/>
    <x v="1"/>
    <x v="6"/>
  </r>
  <r>
    <x v="2877"/>
    <x v="2876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x v="79"/>
    <b v="0"/>
    <x v="6"/>
    <x v="2158"/>
    <n v="3325"/>
    <x v="1"/>
    <x v="6"/>
  </r>
  <r>
    <x v="2878"/>
    <x v="2877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x v="80"/>
    <b v="0"/>
    <x v="6"/>
    <x v="1153"/>
    <n v="1531.5"/>
    <x v="1"/>
    <x v="6"/>
  </r>
  <r>
    <x v="2879"/>
    <x v="2878"/>
    <s v="She that fines a husband? Wait, is that right? Girl... you better check yourself, before you wreck yourself!"/>
    <n v="11200"/>
    <n v="29"/>
    <x v="2"/>
    <x v="0"/>
    <x v="0"/>
    <n v="1453310661"/>
    <n v="1450718661"/>
    <b v="0"/>
    <x v="29"/>
    <b v="0"/>
    <x v="6"/>
    <x v="2159"/>
    <n v="5614.5"/>
    <x v="1"/>
    <x v="6"/>
  </r>
  <r>
    <x v="2880"/>
    <x v="2879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x v="60"/>
    <b v="0"/>
    <x v="6"/>
    <x v="2160"/>
    <n v="7400"/>
    <x v="1"/>
    <x v="6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x v="78"/>
    <b v="0"/>
    <x v="6"/>
    <x v="109"/>
    <n v="2750"/>
    <x v="1"/>
    <x v="6"/>
  </r>
  <r>
    <x v="2882"/>
    <x v="2881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x v="80"/>
    <b v="0"/>
    <x v="6"/>
    <x v="2161"/>
    <n v="501"/>
    <x v="1"/>
    <x v="6"/>
  </r>
  <r>
    <x v="2883"/>
    <x v="2882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x v="81"/>
    <b v="0"/>
    <x v="6"/>
    <x v="2162"/>
    <n v="5954"/>
    <x v="1"/>
    <x v="6"/>
  </r>
  <r>
    <x v="2884"/>
    <x v="2883"/>
    <s v="Come explore the dream world of Jim Morrison, rock singer, mystic, poet, shaman."/>
    <n v="45000"/>
    <n v="185"/>
    <x v="2"/>
    <x v="0"/>
    <x v="0"/>
    <n v="1417800435"/>
    <n v="1415208435"/>
    <b v="0"/>
    <x v="80"/>
    <b v="0"/>
    <x v="6"/>
    <x v="2163"/>
    <n v="22592.5"/>
    <x v="1"/>
    <x v="6"/>
  </r>
  <r>
    <x v="2885"/>
    <x v="2884"/>
    <s v="An historic and proud work of Polish nationalistic literature performed on stage."/>
    <n v="400"/>
    <n v="130"/>
    <x v="2"/>
    <x v="0"/>
    <x v="0"/>
    <n v="1426294201"/>
    <n v="1423705801"/>
    <b v="0"/>
    <x v="81"/>
    <b v="0"/>
    <x v="6"/>
    <x v="2164"/>
    <n v="265"/>
    <x v="1"/>
    <x v="6"/>
  </r>
  <r>
    <x v="2886"/>
    <x v="2885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x v="29"/>
    <b v="0"/>
    <x v="6"/>
    <x v="152"/>
    <n v="105"/>
    <x v="1"/>
    <x v="6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x v="29"/>
    <b v="0"/>
    <x v="6"/>
    <x v="874"/>
    <n v="1502.5"/>
    <x v="1"/>
    <x v="6"/>
  </r>
  <r>
    <x v="2888"/>
    <x v="2887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x v="78"/>
    <b v="0"/>
    <x v="6"/>
    <x v="109"/>
    <n v="15000"/>
    <x v="1"/>
    <x v="6"/>
  </r>
  <r>
    <x v="2889"/>
    <x v="2888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x v="25"/>
    <b v="0"/>
    <x v="6"/>
    <x v="2165"/>
    <n v="2071"/>
    <x v="1"/>
    <x v="6"/>
  </r>
  <r>
    <x v="2890"/>
    <x v="2889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x v="83"/>
    <b v="0"/>
    <x v="6"/>
    <x v="857"/>
    <n v="1010.5"/>
    <x v="1"/>
    <x v="6"/>
  </r>
  <r>
    <x v="2891"/>
    <x v="2890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x v="73"/>
    <b v="0"/>
    <x v="6"/>
    <x v="2166"/>
    <n v="5136.5"/>
    <x v="1"/>
    <x v="6"/>
  </r>
  <r>
    <x v="2892"/>
    <x v="2891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x v="57"/>
    <b v="0"/>
    <x v="6"/>
    <x v="2167"/>
    <n v="3000"/>
    <x v="1"/>
    <x v="6"/>
  </r>
  <r>
    <x v="2893"/>
    <x v="2892"/>
    <s v="Fundraising for REDISCOVERING KIA THE PLAY"/>
    <n v="5000"/>
    <n v="25"/>
    <x v="2"/>
    <x v="0"/>
    <x v="0"/>
    <n v="1420768800"/>
    <n v="1415644395"/>
    <b v="0"/>
    <x v="84"/>
    <b v="0"/>
    <x v="6"/>
    <x v="724"/>
    <n v="2512.5"/>
    <x v="1"/>
    <x v="6"/>
  </r>
  <r>
    <x v="2894"/>
    <x v="2893"/>
    <s v="This Is A Story About A Woman A Man And A Woman"/>
    <n v="50000"/>
    <n v="0"/>
    <x v="2"/>
    <x v="0"/>
    <x v="0"/>
    <n v="1428100815"/>
    <n v="1422920415"/>
    <b v="0"/>
    <x v="78"/>
    <b v="0"/>
    <x v="6"/>
    <x v="109"/>
    <n v="25000"/>
    <x v="1"/>
    <x v="6"/>
  </r>
  <r>
    <x v="2895"/>
    <x v="2894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x v="80"/>
    <b v="0"/>
    <x v="6"/>
    <x v="2168"/>
    <n v="261.5"/>
    <x v="1"/>
    <x v="6"/>
  </r>
  <r>
    <x v="2896"/>
    <x v="2895"/>
    <s v="&quot;Miracle on 34th Street&quot; is about faith and believing in others. _x000a_We believe. Do you?"/>
    <n v="3000"/>
    <n v="625"/>
    <x v="2"/>
    <x v="0"/>
    <x v="0"/>
    <n v="1481522400"/>
    <n v="1480283321"/>
    <b v="0"/>
    <x v="8"/>
    <b v="0"/>
    <x v="6"/>
    <x v="2169"/>
    <n v="1812.5"/>
    <x v="1"/>
    <x v="6"/>
  </r>
  <r>
    <x v="2897"/>
    <x v="2896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x v="83"/>
    <b v="0"/>
    <x v="6"/>
    <x v="2170"/>
    <n v="6275"/>
    <x v="1"/>
    <x v="6"/>
  </r>
  <r>
    <x v="2898"/>
    <x v="2897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x v="8"/>
    <b v="0"/>
    <x v="6"/>
    <x v="2171"/>
    <n v="3908"/>
    <x v="1"/>
    <x v="6"/>
  </r>
  <r>
    <x v="2899"/>
    <x v="2898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x v="78"/>
    <b v="0"/>
    <x v="6"/>
    <x v="109"/>
    <n v="5000"/>
    <x v="1"/>
    <x v="6"/>
  </r>
  <r>
    <x v="2900"/>
    <x v="2899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x v="63"/>
    <b v="0"/>
    <x v="6"/>
    <x v="2172"/>
    <n v="4452.5"/>
    <x v="1"/>
    <x v="6"/>
  </r>
  <r>
    <x v="2901"/>
    <x v="2900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x v="84"/>
    <b v="0"/>
    <x v="6"/>
    <x v="417"/>
    <n v="378"/>
    <x v="1"/>
    <x v="6"/>
  </r>
  <r>
    <x v="2902"/>
    <x v="2901"/>
    <s v="Help me honor and bring &quot;The American Soprano&quot; Leontyne Price back to the stage one more time."/>
    <n v="150000"/>
    <n v="25"/>
    <x v="2"/>
    <x v="0"/>
    <x v="0"/>
    <n v="1440412396"/>
    <n v="1437820396"/>
    <b v="0"/>
    <x v="29"/>
    <b v="0"/>
    <x v="6"/>
    <x v="374"/>
    <n v="75012.5"/>
    <x v="1"/>
    <x v="6"/>
  </r>
  <r>
    <x v="2903"/>
    <x v="2902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x v="80"/>
    <b v="0"/>
    <x v="6"/>
    <x v="2173"/>
    <n v="2519.5"/>
    <x v="1"/>
    <x v="6"/>
  </r>
  <r>
    <x v="2904"/>
    <x v="2903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x v="80"/>
    <b v="0"/>
    <x v="6"/>
    <x v="152"/>
    <n v="787.5"/>
    <x v="1"/>
    <x v="6"/>
  </r>
  <r>
    <x v="2905"/>
    <x v="2904"/>
    <s v="Philly-based feminist theatre's inaugural production about a woman's friendship with an awesome lady cowboy."/>
    <n v="3500"/>
    <n v="622"/>
    <x v="2"/>
    <x v="0"/>
    <x v="0"/>
    <n v="1473211313"/>
    <n v="1472001713"/>
    <b v="0"/>
    <x v="57"/>
    <b v="0"/>
    <x v="6"/>
    <x v="2174"/>
    <n v="2061"/>
    <x v="1"/>
    <x v="6"/>
  </r>
  <r>
    <x v="2906"/>
    <x v="2905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x v="63"/>
    <b v="0"/>
    <x v="6"/>
    <x v="2175"/>
    <n v="3282.5"/>
    <x v="1"/>
    <x v="6"/>
  </r>
  <r>
    <x v="2907"/>
    <x v="2906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x v="84"/>
    <b v="0"/>
    <x v="6"/>
    <x v="123"/>
    <n v="1251"/>
    <x v="1"/>
    <x v="6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x v="81"/>
    <b v="0"/>
    <x v="6"/>
    <x v="178"/>
    <n v="4932"/>
    <x v="1"/>
    <x v="6"/>
  </r>
  <r>
    <x v="2909"/>
    <x v="2908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x v="29"/>
    <b v="0"/>
    <x v="6"/>
    <x v="469"/>
    <n v="90010"/>
    <x v="1"/>
    <x v="6"/>
  </r>
  <r>
    <x v="2910"/>
    <x v="2909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x v="29"/>
    <b v="0"/>
    <x v="6"/>
    <x v="372"/>
    <n v="15000.5"/>
    <x v="1"/>
    <x v="6"/>
  </r>
  <r>
    <x v="2911"/>
    <x v="2910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x v="25"/>
    <b v="0"/>
    <x v="6"/>
    <x v="2176"/>
    <n v="1228.5"/>
    <x v="1"/>
    <x v="6"/>
  </r>
  <r>
    <x v="2912"/>
    <x v="2911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x v="55"/>
    <b v="0"/>
    <x v="6"/>
    <x v="2177"/>
    <n v="8235"/>
    <x v="1"/>
    <x v="6"/>
  </r>
  <r>
    <x v="2913"/>
    <x v="2912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x v="84"/>
    <b v="0"/>
    <x v="6"/>
    <x v="459"/>
    <n v="5001"/>
    <x v="1"/>
    <x v="6"/>
  </r>
  <r>
    <x v="2914"/>
    <x v="2913"/>
    <s v="Hercules must complete four challenges in order to meet the father he never knew"/>
    <n v="25000"/>
    <n v="1"/>
    <x v="2"/>
    <x v="1"/>
    <x v="1"/>
    <n v="1426365994"/>
    <n v="1421185594"/>
    <b v="0"/>
    <x v="29"/>
    <b v="0"/>
    <x v="6"/>
    <x v="524"/>
    <n v="12500.5"/>
    <x v="1"/>
    <x v="6"/>
  </r>
  <r>
    <x v="2915"/>
    <x v="2914"/>
    <s v="An inclusive, cross community, multi-cultural theatre production for children aged 3 to 16 and their families"/>
    <n v="1000"/>
    <n v="611"/>
    <x v="2"/>
    <x v="1"/>
    <x v="1"/>
    <n v="1458117190"/>
    <n v="1455528790"/>
    <b v="0"/>
    <x v="83"/>
    <b v="0"/>
    <x v="6"/>
    <x v="2178"/>
    <n v="805.5"/>
    <x v="1"/>
    <x v="6"/>
  </r>
  <r>
    <x v="2916"/>
    <x v="2915"/>
    <s v="The moving dramatisation of one man's journey to find the truth behind the Libyan regime change."/>
    <n v="1850"/>
    <n v="145"/>
    <x v="2"/>
    <x v="1"/>
    <x v="1"/>
    <n v="1400498789"/>
    <n v="1398511589"/>
    <b v="0"/>
    <x v="63"/>
    <b v="0"/>
    <x v="6"/>
    <x v="2179"/>
    <n v="997.5"/>
    <x v="1"/>
    <x v="6"/>
  </r>
  <r>
    <x v="2917"/>
    <x v="2916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x v="82"/>
    <b v="0"/>
    <x v="6"/>
    <x v="2180"/>
    <n v="1218.5"/>
    <x v="1"/>
    <x v="6"/>
  </r>
  <r>
    <x v="2918"/>
    <x v="2917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x v="9"/>
    <b v="0"/>
    <x v="6"/>
    <x v="2181"/>
    <n v="3181"/>
    <x v="1"/>
    <x v="6"/>
  </r>
  <r>
    <x v="2919"/>
    <x v="2918"/>
    <s v="A full staged reading of a new play about a boy who learns how to be happy from the most unexpected person."/>
    <n v="600"/>
    <n v="51"/>
    <x v="2"/>
    <x v="0"/>
    <x v="0"/>
    <n v="1407250329"/>
    <n v="1404658329"/>
    <b v="0"/>
    <x v="79"/>
    <b v="0"/>
    <x v="6"/>
    <x v="2182"/>
    <n v="325.5"/>
    <x v="1"/>
    <x v="6"/>
  </r>
  <r>
    <x v="2920"/>
    <x v="2919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x v="62"/>
    <b v="0"/>
    <x v="6"/>
    <x v="2183"/>
    <n v="1585.5"/>
    <x v="1"/>
    <x v="6"/>
  </r>
  <r>
    <x v="2921"/>
    <x v="2920"/>
    <s v="I'm creating a cabaret in which all donations go directly to Broadway Cares/Equity Fights AIDS."/>
    <n v="100"/>
    <n v="129"/>
    <x v="0"/>
    <x v="0"/>
    <x v="0"/>
    <n v="1411679804"/>
    <n v="1409087804"/>
    <b v="0"/>
    <x v="83"/>
    <b v="1"/>
    <x v="40"/>
    <x v="2184"/>
    <n v="114.5"/>
    <x v="1"/>
    <x v="40"/>
  </r>
  <r>
    <x v="2922"/>
    <x v="2921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x v="79"/>
    <b v="1"/>
    <x v="40"/>
    <x v="31"/>
    <n v="500"/>
    <x v="1"/>
    <x v="40"/>
  </r>
  <r>
    <x v="2923"/>
    <x v="2922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x v="73"/>
    <b v="1"/>
    <x v="40"/>
    <x v="31"/>
    <n v="300"/>
    <x v="1"/>
    <x v="40"/>
  </r>
  <r>
    <x v="2924"/>
    <x v="2923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x v="206"/>
    <b v="1"/>
    <x v="40"/>
    <x v="1912"/>
    <n v="25400"/>
    <x v="1"/>
    <x v="40"/>
  </r>
  <r>
    <x v="2925"/>
    <x v="2924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x v="473"/>
    <b v="1"/>
    <x v="40"/>
    <x v="2185"/>
    <n v="45550.345000000001"/>
    <x v="1"/>
    <x v="40"/>
  </r>
  <r>
    <x v="2926"/>
    <x v="2925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x v="133"/>
    <b v="1"/>
    <x v="40"/>
    <x v="1054"/>
    <n v="3375"/>
    <x v="1"/>
    <x v="40"/>
  </r>
  <r>
    <x v="2927"/>
    <x v="2926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x v="64"/>
    <b v="1"/>
    <x v="40"/>
    <x v="2186"/>
    <n v="2077.5"/>
    <x v="1"/>
    <x v="40"/>
  </r>
  <r>
    <x v="2928"/>
    <x v="2927"/>
    <s v="This is a touring production for schools in the Treasure Valley!"/>
    <n v="1000"/>
    <n v="1000"/>
    <x v="0"/>
    <x v="0"/>
    <x v="0"/>
    <n v="1457135846"/>
    <n v="1454543846"/>
    <b v="0"/>
    <x v="54"/>
    <b v="1"/>
    <x v="40"/>
    <x v="31"/>
    <n v="1000"/>
    <x v="1"/>
    <x v="40"/>
  </r>
  <r>
    <x v="2929"/>
    <x v="2928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x v="58"/>
    <b v="1"/>
    <x v="40"/>
    <x v="2187"/>
    <n v="8082.7749999999996"/>
    <x v="1"/>
    <x v="40"/>
  </r>
  <r>
    <x v="2930"/>
    <x v="2929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x v="95"/>
    <b v="1"/>
    <x v="40"/>
    <x v="2188"/>
    <n v="10046"/>
    <x v="1"/>
    <x v="40"/>
  </r>
  <r>
    <x v="2931"/>
    <x v="2930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x v="82"/>
    <b v="1"/>
    <x v="40"/>
    <x v="938"/>
    <n v="772.5"/>
    <x v="1"/>
    <x v="40"/>
  </r>
  <r>
    <x v="2932"/>
    <x v="2931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x v="44"/>
    <b v="1"/>
    <x v="40"/>
    <x v="2189"/>
    <n v="3179"/>
    <x v="1"/>
    <x v="40"/>
  </r>
  <r>
    <x v="2933"/>
    <x v="2932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x v="241"/>
    <b v="1"/>
    <x v="40"/>
    <x v="2190"/>
    <n v="2534.5"/>
    <x v="1"/>
    <x v="40"/>
  </r>
  <r>
    <x v="2934"/>
    <x v="2933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x v="77"/>
    <b v="1"/>
    <x v="40"/>
    <x v="1277"/>
    <n v="2600"/>
    <x v="1"/>
    <x v="40"/>
  </r>
  <r>
    <x v="2935"/>
    <x v="2934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x v="70"/>
    <b v="1"/>
    <x v="40"/>
    <x v="2191"/>
    <n v="3515.5"/>
    <x v="1"/>
    <x v="40"/>
  </r>
  <r>
    <x v="2936"/>
    <x v="2935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x v="69"/>
    <b v="1"/>
    <x v="40"/>
    <x v="602"/>
    <n v="1140"/>
    <x v="1"/>
    <x v="40"/>
  </r>
  <r>
    <x v="2937"/>
    <x v="2936"/>
    <s v="UCAS is a new British musical premiering at the Edinburgh Fringe Festival 2014."/>
    <n v="1500"/>
    <n v="2000"/>
    <x v="0"/>
    <x v="1"/>
    <x v="1"/>
    <n v="1405249113"/>
    <n v="1402657113"/>
    <b v="0"/>
    <x v="165"/>
    <b v="1"/>
    <x v="40"/>
    <x v="25"/>
    <n v="1750"/>
    <x v="1"/>
    <x v="40"/>
  </r>
  <r>
    <x v="2938"/>
    <x v="2937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x v="58"/>
    <b v="1"/>
    <x v="40"/>
    <x v="300"/>
    <n v="4027.5"/>
    <x v="1"/>
    <x v="40"/>
  </r>
  <r>
    <x v="2939"/>
    <x v="2938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x v="20"/>
    <b v="1"/>
    <x v="40"/>
    <x v="2192"/>
    <n v="8115"/>
    <x v="1"/>
    <x v="40"/>
  </r>
  <r>
    <x v="2940"/>
    <x v="2939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x v="51"/>
    <b v="1"/>
    <x v="40"/>
    <x v="2193"/>
    <n v="2590.5"/>
    <x v="1"/>
    <x v="40"/>
  </r>
  <r>
    <x v="2941"/>
    <x v="2940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x v="29"/>
    <b v="0"/>
    <x v="38"/>
    <x v="524"/>
    <n v="12500.5"/>
    <x v="1"/>
    <x v="38"/>
  </r>
  <r>
    <x v="2942"/>
    <x v="2941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x v="91"/>
    <b v="0"/>
    <x v="38"/>
    <x v="2194"/>
    <n v="120425"/>
    <x v="1"/>
    <x v="38"/>
  </r>
  <r>
    <x v="2943"/>
    <x v="2942"/>
    <s v="Building a Resource Network and Funding Capacity to support, empower and promote Afrocentric Arts in Metro Columbus"/>
    <n v="3000"/>
    <n v="0"/>
    <x v="2"/>
    <x v="0"/>
    <x v="0"/>
    <n v="1428894380"/>
    <n v="1426302380"/>
    <b v="0"/>
    <x v="78"/>
    <b v="0"/>
    <x v="38"/>
    <x v="109"/>
    <n v="1500"/>
    <x v="1"/>
    <x v="38"/>
  </r>
  <r>
    <x v="2944"/>
    <x v="2943"/>
    <s v="Our vision: build and operate a Theater Arts Center for south-central Washington state in Goldendale."/>
    <n v="10000"/>
    <n v="100"/>
    <x v="2"/>
    <x v="0"/>
    <x v="0"/>
    <n v="1433714198"/>
    <n v="1431122198"/>
    <b v="0"/>
    <x v="29"/>
    <b v="0"/>
    <x v="38"/>
    <x v="460"/>
    <n v="5050"/>
    <x v="1"/>
    <x v="38"/>
  </r>
  <r>
    <x v="2945"/>
    <x v="2944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x v="78"/>
    <b v="0"/>
    <x v="38"/>
    <x v="109"/>
    <n v="25000"/>
    <x v="1"/>
    <x v="38"/>
  </r>
  <r>
    <x v="2946"/>
    <x v="2945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x v="84"/>
    <b v="0"/>
    <x v="38"/>
    <x v="370"/>
    <n v="1001"/>
    <x v="1"/>
    <x v="38"/>
  </r>
  <r>
    <x v="2947"/>
    <x v="2946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x v="62"/>
    <b v="0"/>
    <x v="38"/>
    <x v="2195"/>
    <n v="13036"/>
    <x v="1"/>
    <x v="38"/>
  </r>
  <r>
    <x v="2948"/>
    <x v="2947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x v="82"/>
    <b v="0"/>
    <x v="38"/>
    <x v="2196"/>
    <n v="250012"/>
    <x v="1"/>
    <x v="38"/>
  </r>
  <r>
    <x v="2949"/>
    <x v="2948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x v="84"/>
    <b v="0"/>
    <x v="38"/>
    <x v="453"/>
    <n v="512.5"/>
    <x v="1"/>
    <x v="38"/>
  </r>
  <r>
    <x v="2950"/>
    <x v="2949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x v="78"/>
    <b v="0"/>
    <x v="38"/>
    <x v="109"/>
    <n v="2500000"/>
    <x v="1"/>
    <x v="38"/>
  </r>
  <r>
    <x v="2951"/>
    <x v="2950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x v="6"/>
    <b v="0"/>
    <x v="38"/>
    <x v="2197"/>
    <n v="25548"/>
    <x v="1"/>
    <x v="38"/>
  </r>
  <r>
    <x v="2952"/>
    <x v="2951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x v="22"/>
    <b v="0"/>
    <x v="38"/>
    <x v="2198"/>
    <n v="10802.5"/>
    <x v="1"/>
    <x v="38"/>
  </r>
  <r>
    <x v="2953"/>
    <x v="2952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x v="83"/>
    <b v="0"/>
    <x v="38"/>
    <x v="2199"/>
    <n v="200302.5"/>
    <x v="1"/>
    <x v="38"/>
  </r>
  <r>
    <x v="2954"/>
    <x v="2953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x v="78"/>
    <b v="0"/>
    <x v="38"/>
    <x v="109"/>
    <n v="7500"/>
    <x v="1"/>
    <x v="38"/>
  </r>
  <r>
    <x v="2955"/>
    <x v="2954"/>
    <s v="Stage Door Theater needs a stage for its current and future productions. Can you help?"/>
    <n v="1200"/>
    <n v="715"/>
    <x v="1"/>
    <x v="0"/>
    <x v="0"/>
    <n v="1434476849"/>
    <n v="1431884849"/>
    <b v="0"/>
    <x v="202"/>
    <b v="0"/>
    <x v="38"/>
    <x v="2200"/>
    <n v="957.5"/>
    <x v="1"/>
    <x v="38"/>
  </r>
  <r>
    <x v="2956"/>
    <x v="2955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x v="9"/>
    <b v="0"/>
    <x v="38"/>
    <x v="2201"/>
    <n v="4611"/>
    <x v="1"/>
    <x v="38"/>
  </r>
  <r>
    <x v="2957"/>
    <x v="2956"/>
    <s v="Theatre in Tuscaloosa, AL built in the 1930s.  The headsets seem about that old. They are almost unusable."/>
    <n v="15000"/>
    <n v="280"/>
    <x v="1"/>
    <x v="0"/>
    <x v="0"/>
    <n v="1427498172"/>
    <n v="1422317772"/>
    <b v="0"/>
    <x v="83"/>
    <b v="0"/>
    <x v="38"/>
    <x v="2202"/>
    <n v="7640"/>
    <x v="1"/>
    <x v="38"/>
  </r>
  <r>
    <x v="2958"/>
    <x v="2957"/>
    <s v="Chicago Based Theater Company and Venue Dedicated to Social Justice and Mainstreaming the Palestinian Narrative"/>
    <n v="80000"/>
    <n v="0"/>
    <x v="1"/>
    <x v="0"/>
    <x v="0"/>
    <n v="1462729317"/>
    <n v="1457548917"/>
    <b v="0"/>
    <x v="78"/>
    <b v="0"/>
    <x v="38"/>
    <x v="109"/>
    <n v="40000"/>
    <x v="1"/>
    <x v="38"/>
  </r>
  <r>
    <x v="2959"/>
    <x v="2958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x v="78"/>
    <b v="0"/>
    <x v="38"/>
    <x v="109"/>
    <n v="5000"/>
    <x v="1"/>
    <x v="38"/>
  </r>
  <r>
    <x v="2960"/>
    <x v="2959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x v="78"/>
    <b v="0"/>
    <x v="38"/>
    <x v="109"/>
    <n v="15000000"/>
    <x v="1"/>
    <x v="38"/>
  </r>
  <r>
    <x v="2961"/>
    <x v="2960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x v="52"/>
    <b v="1"/>
    <x v="6"/>
    <x v="2203"/>
    <n v="5240.5"/>
    <x v="1"/>
    <x v="6"/>
  </r>
  <r>
    <x v="2962"/>
    <x v="2961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x v="9"/>
    <b v="1"/>
    <x v="6"/>
    <x v="662"/>
    <n v="1109"/>
    <x v="1"/>
    <x v="6"/>
  </r>
  <r>
    <x v="2963"/>
    <x v="2962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x v="15"/>
    <b v="1"/>
    <x v="6"/>
    <x v="2204"/>
    <n v="10342.5"/>
    <x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x v="193"/>
    <b v="1"/>
    <x v="6"/>
    <x v="2205"/>
    <n v="5017.8449999999993"/>
    <x v="1"/>
    <x v="6"/>
  </r>
  <r>
    <x v="2965"/>
    <x v="2964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x v="70"/>
    <b v="1"/>
    <x v="6"/>
    <x v="2206"/>
    <n v="1567.5"/>
    <x v="1"/>
    <x v="6"/>
  </r>
  <r>
    <x v="2966"/>
    <x v="2965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x v="130"/>
    <b v="1"/>
    <x v="6"/>
    <x v="2207"/>
    <n v="10681.5"/>
    <x v="1"/>
    <x v="6"/>
  </r>
  <r>
    <x v="2967"/>
    <x v="2966"/>
    <s v="Scissortail is a story of loss, grief, and recovery based on the events of the 1995 Oklahoma City Bombing."/>
    <n v="5000"/>
    <n v="5696"/>
    <x v="0"/>
    <x v="0"/>
    <x v="0"/>
    <n v="1425872692"/>
    <n v="1423284292"/>
    <b v="0"/>
    <x v="26"/>
    <b v="1"/>
    <x v="6"/>
    <x v="2208"/>
    <n v="5348"/>
    <x v="1"/>
    <x v="6"/>
  </r>
  <r>
    <x v="2968"/>
    <x v="2967"/>
    <s v="The Curse of the Babywoman is real â€” and it is coming to FringeNYC this August."/>
    <n v="3500"/>
    <n v="3710"/>
    <x v="0"/>
    <x v="0"/>
    <x v="0"/>
    <n v="1471406340"/>
    <n v="1470227660"/>
    <b v="0"/>
    <x v="5"/>
    <b v="1"/>
    <x v="6"/>
    <x v="938"/>
    <n v="3605"/>
    <x v="1"/>
    <x v="6"/>
  </r>
  <r>
    <x v="2969"/>
    <x v="2968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x v="57"/>
    <b v="1"/>
    <x v="6"/>
    <x v="2209"/>
    <n v="1312.5"/>
    <x v="1"/>
    <x v="6"/>
  </r>
  <r>
    <x v="2970"/>
    <x v="2969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x v="110"/>
    <b v="1"/>
    <x v="6"/>
    <x v="938"/>
    <n v="6180"/>
    <x v="1"/>
    <x v="6"/>
  </r>
  <r>
    <x v="2971"/>
    <x v="2970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x v="68"/>
    <b v="1"/>
    <x v="6"/>
    <x v="2210"/>
    <n v="3202.5"/>
    <x v="1"/>
    <x v="6"/>
  </r>
  <r>
    <x v="2972"/>
    <x v="2971"/>
    <s v="A group of artists. A mythical art piece. A harrowing quest. And some margaritas."/>
    <n v="2000"/>
    <n v="2107"/>
    <x v="0"/>
    <x v="0"/>
    <x v="0"/>
    <n v="1480899600"/>
    <n v="1479609520"/>
    <b v="0"/>
    <x v="57"/>
    <b v="1"/>
    <x v="6"/>
    <x v="2211"/>
    <n v="2053.5"/>
    <x v="1"/>
    <x v="6"/>
  </r>
  <r>
    <x v="2973"/>
    <x v="2972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x v="51"/>
    <b v="1"/>
    <x v="6"/>
    <x v="2212"/>
    <n v="6870"/>
    <x v="1"/>
    <x v="6"/>
  </r>
  <r>
    <x v="2974"/>
    <x v="2973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x v="45"/>
    <b v="1"/>
    <x v="6"/>
    <x v="607"/>
    <n v="5050"/>
    <x v="1"/>
    <x v="6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x v="116"/>
    <b v="1"/>
    <x v="6"/>
    <x v="2213"/>
    <n v="8005"/>
    <x v="1"/>
    <x v="6"/>
  </r>
  <r>
    <x v="2976"/>
    <x v="2975"/>
    <s v="A play that addresses an important social issue, brought to light by members of the UoM Drama Society."/>
    <n v="70"/>
    <n v="120"/>
    <x v="0"/>
    <x v="1"/>
    <x v="1"/>
    <n v="1457870400"/>
    <n v="1456421530"/>
    <b v="0"/>
    <x v="25"/>
    <b v="1"/>
    <x v="6"/>
    <x v="2214"/>
    <n v="95"/>
    <x v="1"/>
    <x v="6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x v="209"/>
    <b v="1"/>
    <x v="6"/>
    <x v="2215"/>
    <n v="3203.5"/>
    <x v="1"/>
    <x v="6"/>
  </r>
  <r>
    <x v="2978"/>
    <x v="2977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x v="38"/>
    <b v="1"/>
    <x v="6"/>
    <x v="2216"/>
    <n v="860.5"/>
    <x v="1"/>
    <x v="6"/>
  </r>
  <r>
    <x v="2979"/>
    <x v="2978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x v="67"/>
    <b v="1"/>
    <x v="6"/>
    <x v="578"/>
    <n v="5035"/>
    <x v="1"/>
    <x v="6"/>
  </r>
  <r>
    <x v="2980"/>
    <x v="2979"/>
    <s v="1 director, 4 actors, and a whole lotta determination. Help us bring this brilliant story to the heart of NYC!"/>
    <n v="3000"/>
    <n v="3275"/>
    <x v="0"/>
    <x v="0"/>
    <x v="0"/>
    <n v="1440381600"/>
    <n v="1438639130"/>
    <b v="0"/>
    <x v="54"/>
    <b v="1"/>
    <x v="6"/>
    <x v="2217"/>
    <n v="3137.5"/>
    <x v="1"/>
    <x v="6"/>
  </r>
  <r>
    <x v="2981"/>
    <x v="2980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x v="174"/>
    <b v="1"/>
    <x v="38"/>
    <x v="2218"/>
    <n v="4578.5"/>
    <x v="1"/>
    <x v="38"/>
  </r>
  <r>
    <x v="2982"/>
    <x v="2981"/>
    <s v="Renovating this historical landmark, into an arts venue and theatre space for the community."/>
    <n v="5000"/>
    <n v="5103"/>
    <x v="0"/>
    <x v="1"/>
    <x v="1"/>
    <n v="1455208143"/>
    <n v="1452616143"/>
    <b v="1"/>
    <x v="211"/>
    <b v="1"/>
    <x v="38"/>
    <x v="2219"/>
    <n v="5051.5"/>
    <x v="1"/>
    <x v="38"/>
  </r>
  <r>
    <x v="2983"/>
    <x v="2982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x v="486"/>
    <b v="1"/>
    <x v="38"/>
    <x v="2220"/>
    <n v="142992.95500000002"/>
    <x v="1"/>
    <x v="38"/>
  </r>
  <r>
    <x v="2984"/>
    <x v="2983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x v="423"/>
    <b v="1"/>
    <x v="38"/>
    <x v="2221"/>
    <n v="25044"/>
    <x v="1"/>
    <x v="38"/>
  </r>
  <r>
    <x v="2985"/>
    <x v="2984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x v="112"/>
    <b v="1"/>
    <x v="38"/>
    <x v="2222"/>
    <n v="11082.5"/>
    <x v="1"/>
    <x v="38"/>
  </r>
  <r>
    <x v="2986"/>
    <x v="2985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x v="66"/>
    <b v="1"/>
    <x v="38"/>
    <x v="269"/>
    <n v="2466"/>
    <x v="1"/>
    <x v="38"/>
  </r>
  <r>
    <x v="2987"/>
    <x v="2986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x v="236"/>
    <b v="1"/>
    <x v="38"/>
    <x v="2223"/>
    <n v="26300.1"/>
    <x v="1"/>
    <x v="38"/>
  </r>
  <r>
    <x v="2988"/>
    <x v="2987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x v="33"/>
    <b v="1"/>
    <x v="38"/>
    <x v="31"/>
    <n v="1000"/>
    <x v="1"/>
    <x v="38"/>
  </r>
  <r>
    <x v="2989"/>
    <x v="2988"/>
    <s v="Bring the movies back to Bethel, Maine."/>
    <n v="20000"/>
    <n v="35307"/>
    <x v="0"/>
    <x v="0"/>
    <x v="0"/>
    <n v="1450673940"/>
    <n v="1448756962"/>
    <b v="0"/>
    <x v="487"/>
    <b v="1"/>
    <x v="38"/>
    <x v="2224"/>
    <n v="27653.5"/>
    <x v="1"/>
    <x v="38"/>
  </r>
  <r>
    <x v="2990"/>
    <x v="2989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x v="74"/>
    <b v="1"/>
    <x v="38"/>
    <x v="31"/>
    <n v="10000"/>
    <x v="1"/>
    <x v="38"/>
  </r>
  <r>
    <x v="2991"/>
    <x v="2990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x v="251"/>
    <b v="1"/>
    <x v="38"/>
    <x v="2225"/>
    <n v="8640"/>
    <x v="1"/>
    <x v="38"/>
  </r>
  <r>
    <x v="2992"/>
    <x v="2991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x v="31"/>
    <b v="1"/>
    <x v="38"/>
    <x v="2226"/>
    <n v="3067.5"/>
    <x v="1"/>
    <x v="38"/>
  </r>
  <r>
    <x v="2993"/>
    <x v="2992"/>
    <s v="Help us build the Kitchen from Hell!"/>
    <n v="1000"/>
    <n v="1003"/>
    <x v="0"/>
    <x v="0"/>
    <x v="0"/>
    <n v="1455998867"/>
    <n v="1453406867"/>
    <b v="0"/>
    <x v="19"/>
    <b v="1"/>
    <x v="38"/>
    <x v="2227"/>
    <n v="1001.5"/>
    <x v="1"/>
    <x v="38"/>
  </r>
  <r>
    <x v="2994"/>
    <x v="2993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x v="211"/>
    <b v="1"/>
    <x v="38"/>
    <x v="2228"/>
    <n v="836.62"/>
    <x v="1"/>
    <x v="38"/>
  </r>
  <r>
    <x v="2995"/>
    <x v="2994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x v="437"/>
    <b v="1"/>
    <x v="38"/>
    <x v="2229"/>
    <n v="15372"/>
    <x v="1"/>
    <x v="38"/>
  </r>
  <r>
    <x v="2996"/>
    <x v="2995"/>
    <s v="A permanent home for comedy in Connecticut in the heart of downtown Hartford."/>
    <n v="35000"/>
    <n v="60180"/>
    <x v="0"/>
    <x v="0"/>
    <x v="0"/>
    <n v="1432677240"/>
    <n v="1427493240"/>
    <b v="0"/>
    <x v="413"/>
    <b v="1"/>
    <x v="38"/>
    <x v="2230"/>
    <n v="47590"/>
    <x v="1"/>
    <x v="38"/>
  </r>
  <r>
    <x v="2997"/>
    <x v="2996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x v="248"/>
    <b v="1"/>
    <x v="38"/>
    <x v="2231"/>
    <n v="10186.5"/>
    <x v="1"/>
    <x v="38"/>
  </r>
  <r>
    <x v="2998"/>
    <x v="2997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x v="488"/>
    <b v="1"/>
    <x v="38"/>
    <x v="2232"/>
    <n v="50757.25"/>
    <x v="1"/>
    <x v="38"/>
  </r>
  <r>
    <x v="2999"/>
    <x v="2998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x v="9"/>
    <b v="1"/>
    <x v="38"/>
    <x v="2233"/>
    <n v="1477.5"/>
    <x v="1"/>
    <x v="38"/>
  </r>
  <r>
    <x v="3000"/>
    <x v="2999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x v="22"/>
    <b v="1"/>
    <x v="38"/>
    <x v="31"/>
    <n v="500"/>
    <x v="1"/>
    <x v="38"/>
  </r>
  <r>
    <x v="3001"/>
    <x v="3000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x v="489"/>
    <b v="1"/>
    <x v="38"/>
    <x v="2234"/>
    <n v="15102.504999999999"/>
    <x v="1"/>
    <x v="38"/>
  </r>
  <r>
    <x v="3002"/>
    <x v="3001"/>
    <s v="Make the workshop/ small stage space at Jimmy's No 43 even better than before!"/>
    <n v="7000"/>
    <n v="7595.43"/>
    <x v="0"/>
    <x v="0"/>
    <x v="0"/>
    <n v="1356552252"/>
    <n v="1353960252"/>
    <b v="0"/>
    <x v="201"/>
    <b v="1"/>
    <x v="38"/>
    <x v="2235"/>
    <n v="7297.7150000000001"/>
    <x v="1"/>
    <x v="38"/>
  </r>
  <r>
    <x v="3003"/>
    <x v="3002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x v="57"/>
    <b v="1"/>
    <x v="38"/>
    <x v="2107"/>
    <n v="3017.5"/>
    <x v="1"/>
    <x v="38"/>
  </r>
  <r>
    <x v="3004"/>
    <x v="3003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x v="490"/>
    <b v="1"/>
    <x v="38"/>
    <x v="2236"/>
    <n v="42563"/>
    <x v="1"/>
    <x v="38"/>
  </r>
  <r>
    <x v="3005"/>
    <x v="3004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x v="115"/>
    <b v="1"/>
    <x v="38"/>
    <x v="2237"/>
    <n v="11686.3"/>
    <x v="1"/>
    <x v="38"/>
  </r>
  <r>
    <x v="3006"/>
    <x v="3005"/>
    <s v="We're an affordable theatre and rental space that can be molded into anything by anyone."/>
    <n v="8000"/>
    <n v="8620"/>
    <x v="0"/>
    <x v="5"/>
    <x v="5"/>
    <n v="1418580591"/>
    <n v="1415988591"/>
    <b v="0"/>
    <x v="174"/>
    <b v="1"/>
    <x v="38"/>
    <x v="2133"/>
    <n v="8310"/>
    <x v="1"/>
    <x v="38"/>
  </r>
  <r>
    <x v="3007"/>
    <x v="3006"/>
    <s v="Consuite for 2015 CoreCon.  An adventure into insanity."/>
    <n v="600"/>
    <n v="1080"/>
    <x v="0"/>
    <x v="0"/>
    <x v="0"/>
    <n v="1429938683"/>
    <n v="1428124283"/>
    <b v="0"/>
    <x v="9"/>
    <b v="1"/>
    <x v="38"/>
    <x v="2238"/>
    <n v="840"/>
    <x v="1"/>
    <x v="38"/>
  </r>
  <r>
    <x v="3008"/>
    <x v="3007"/>
    <s v="Help fund Silver Spring Stage's HVAC costs for the upcoming year! Don't leave us out in the cold (pun intended)!"/>
    <n v="3000"/>
    <n v="3035"/>
    <x v="0"/>
    <x v="0"/>
    <x v="0"/>
    <n v="1453352719"/>
    <n v="1450760719"/>
    <b v="0"/>
    <x v="55"/>
    <b v="1"/>
    <x v="38"/>
    <x v="2107"/>
    <n v="3017.5"/>
    <x v="1"/>
    <x v="38"/>
  </r>
  <r>
    <x v="3009"/>
    <x v="3008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x v="130"/>
    <b v="1"/>
    <x v="38"/>
    <x v="2239"/>
    <n v="27469.5"/>
    <x v="1"/>
    <x v="38"/>
  </r>
  <r>
    <x v="3010"/>
    <x v="3009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x v="41"/>
    <b v="1"/>
    <x v="38"/>
    <x v="2240"/>
    <n v="1935"/>
    <x v="1"/>
    <x v="38"/>
  </r>
  <r>
    <x v="3011"/>
    <x v="3010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x v="20"/>
    <b v="1"/>
    <x v="38"/>
    <x v="2241"/>
    <n v="335.5"/>
    <x v="1"/>
    <x v="38"/>
  </r>
  <r>
    <x v="3012"/>
    <x v="3011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x v="165"/>
    <b v="1"/>
    <x v="38"/>
    <x v="2242"/>
    <n v="4342.5"/>
    <x v="1"/>
    <x v="38"/>
  </r>
  <r>
    <x v="3013"/>
    <x v="3012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x v="329"/>
    <b v="1"/>
    <x v="38"/>
    <x v="2243"/>
    <n v="12848"/>
    <x v="1"/>
    <x v="38"/>
  </r>
  <r>
    <x v="3014"/>
    <x v="3013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x v="491"/>
    <b v="1"/>
    <x v="38"/>
    <x v="2244"/>
    <n v="26638"/>
    <x v="1"/>
    <x v="38"/>
  </r>
  <r>
    <x v="3015"/>
    <x v="3014"/>
    <s v="We're turning an old yogurt shop into a live theater in downtown Charleston.   Please help us hang our sign!"/>
    <n v="3400"/>
    <n v="3508"/>
    <x v="0"/>
    <x v="0"/>
    <x v="0"/>
    <n v="1402459200"/>
    <n v="1401125238"/>
    <b v="0"/>
    <x v="244"/>
    <b v="1"/>
    <x v="38"/>
    <x v="2245"/>
    <n v="3454"/>
    <x v="1"/>
    <x v="38"/>
  </r>
  <r>
    <x v="3016"/>
    <x v="3015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x v="17"/>
    <b v="1"/>
    <x v="38"/>
    <x v="2246"/>
    <n v="8611"/>
    <x v="1"/>
    <x v="38"/>
  </r>
  <r>
    <x v="3017"/>
    <x v="3016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x v="180"/>
    <b v="1"/>
    <x v="38"/>
    <x v="2247"/>
    <n v="22642.5"/>
    <x v="1"/>
    <x v="38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x v="14"/>
    <b v="1"/>
    <x v="38"/>
    <x v="2248"/>
    <n v="4215"/>
    <x v="1"/>
    <x v="38"/>
  </r>
  <r>
    <x v="3019"/>
    <x v="3018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x v="334"/>
    <b v="1"/>
    <x v="38"/>
    <x v="2249"/>
    <n v="16592.5"/>
    <x v="1"/>
    <x v="38"/>
  </r>
  <r>
    <x v="3020"/>
    <x v="3019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x v="209"/>
    <b v="1"/>
    <x v="38"/>
    <x v="2250"/>
    <n v="7020"/>
    <x v="1"/>
    <x v="38"/>
  </r>
  <r>
    <x v="3021"/>
    <x v="3020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x v="273"/>
    <b v="1"/>
    <x v="38"/>
    <x v="2251"/>
    <n v="4860.5"/>
    <x v="1"/>
    <x v="38"/>
  </r>
  <r>
    <x v="3022"/>
    <x v="3021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x v="95"/>
    <b v="1"/>
    <x v="38"/>
    <x v="2252"/>
    <n v="10044"/>
    <x v="1"/>
    <x v="38"/>
  </r>
  <r>
    <x v="3023"/>
    <x v="3022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x v="79"/>
    <b v="1"/>
    <x v="38"/>
    <x v="288"/>
    <n v="710.5"/>
    <x v="1"/>
    <x v="38"/>
  </r>
  <r>
    <x v="3024"/>
    <x v="3023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x v="0"/>
    <b v="1"/>
    <x v="38"/>
    <x v="2253"/>
    <n v="8660.5"/>
    <x v="1"/>
    <x v="38"/>
  </r>
  <r>
    <x v="3025"/>
    <x v="3024"/>
    <s v="Be part of building Cardiff's first pub theatre, located right in the city centre. Launching January 2015."/>
    <n v="2500"/>
    <n v="7555"/>
    <x v="0"/>
    <x v="1"/>
    <x v="1"/>
    <n v="1401465600"/>
    <n v="1399032813"/>
    <b v="0"/>
    <x v="108"/>
    <b v="1"/>
    <x v="38"/>
    <x v="2254"/>
    <n v="5027.5"/>
    <x v="1"/>
    <x v="38"/>
  </r>
  <r>
    <x v="3026"/>
    <x v="3025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x v="20"/>
    <b v="1"/>
    <x v="38"/>
    <x v="2255"/>
    <n v="1095"/>
    <x v="1"/>
    <x v="38"/>
  </r>
  <r>
    <x v="3027"/>
    <x v="3026"/>
    <s v="Wavy says let's LIGHT UP THE RAINBOW STAGE and as our stretch reward we'll throw all of us a PARTY!"/>
    <n v="40000"/>
    <n v="52576"/>
    <x v="0"/>
    <x v="0"/>
    <x v="0"/>
    <n v="1426866851"/>
    <n v="1424278451"/>
    <b v="0"/>
    <x v="492"/>
    <b v="1"/>
    <x v="38"/>
    <x v="2256"/>
    <n v="46288"/>
    <x v="1"/>
    <x v="38"/>
  </r>
  <r>
    <x v="3028"/>
    <x v="3027"/>
    <s v="We have a space! Help us fill it with a stage, chairs, gear and audiences' laughter!"/>
    <n v="5000"/>
    <n v="8401"/>
    <x v="0"/>
    <x v="0"/>
    <x v="0"/>
    <n v="1471242025"/>
    <n v="1468650025"/>
    <b v="0"/>
    <x v="221"/>
    <b v="1"/>
    <x v="38"/>
    <x v="2257"/>
    <n v="6700.5"/>
    <x v="1"/>
    <x v="38"/>
  </r>
  <r>
    <x v="3029"/>
    <x v="3028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x v="493"/>
    <b v="1"/>
    <x v="38"/>
    <x v="2258"/>
    <n v="31451.5"/>
    <x v="1"/>
    <x v="38"/>
  </r>
  <r>
    <x v="3030"/>
    <x v="3029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x v="14"/>
    <b v="1"/>
    <x v="38"/>
    <x v="2259"/>
    <n v="1808.5"/>
    <x v="1"/>
    <x v="38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x v="60"/>
    <b v="1"/>
    <x v="38"/>
    <x v="31"/>
    <n v="1500"/>
    <x v="1"/>
    <x v="38"/>
  </r>
  <r>
    <x v="3032"/>
    <x v="3031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x v="20"/>
    <b v="1"/>
    <x v="38"/>
    <x v="66"/>
    <n v="1136"/>
    <x v="1"/>
    <x v="38"/>
  </r>
  <r>
    <x v="3033"/>
    <x v="3032"/>
    <s v="Finally Stagelights will have a space of our very own!  Be a part of this exciting new adventure in Greensboro!!"/>
    <n v="3000"/>
    <n v="4396"/>
    <x v="0"/>
    <x v="0"/>
    <x v="0"/>
    <n v="1471487925"/>
    <n v="1468895925"/>
    <b v="0"/>
    <x v="23"/>
    <b v="1"/>
    <x v="38"/>
    <x v="2260"/>
    <n v="3698"/>
    <x v="1"/>
    <x v="38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x v="494"/>
    <b v="1"/>
    <x v="38"/>
    <x v="2261"/>
    <n v="106268"/>
    <x v="1"/>
    <x v="38"/>
  </r>
  <r>
    <x v="3035"/>
    <x v="3034"/>
    <s v="Help create a permanent home for live comedy shows and classes in Downtown RVA."/>
    <n v="25000"/>
    <n v="27196.71"/>
    <x v="0"/>
    <x v="0"/>
    <x v="0"/>
    <n v="1367674009"/>
    <n v="1365082009"/>
    <b v="0"/>
    <x v="495"/>
    <b v="1"/>
    <x v="38"/>
    <x v="2262"/>
    <n v="26098.355"/>
    <x v="1"/>
    <x v="38"/>
  </r>
  <r>
    <x v="3036"/>
    <x v="3035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x v="313"/>
    <b v="1"/>
    <x v="38"/>
    <x v="2263"/>
    <n v="28341.5"/>
    <x v="1"/>
    <x v="38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x v="58"/>
    <b v="1"/>
    <x v="38"/>
    <x v="2264"/>
    <n v="783"/>
    <x v="1"/>
    <x v="38"/>
  </r>
  <r>
    <x v="3038"/>
    <x v="3037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x v="74"/>
    <b v="1"/>
    <x v="38"/>
    <x v="10"/>
    <n v="1002.5"/>
    <x v="1"/>
    <x v="38"/>
  </r>
  <r>
    <x v="3039"/>
    <x v="3038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x v="163"/>
    <b v="1"/>
    <x v="38"/>
    <x v="2265"/>
    <n v="20871.39"/>
    <x v="1"/>
    <x v="38"/>
  </r>
  <r>
    <x v="3040"/>
    <x v="3039"/>
    <s v="48 hours of deck screws, dry wall, hard hats and needed renovation to help the Jayhawk rise from the ashes."/>
    <n v="3000"/>
    <n v="3225"/>
    <x v="0"/>
    <x v="0"/>
    <x v="0"/>
    <n v="1435359600"/>
    <n v="1434999621"/>
    <b v="0"/>
    <x v="288"/>
    <b v="1"/>
    <x v="38"/>
    <x v="1881"/>
    <n v="3112.5"/>
    <x v="1"/>
    <x v="38"/>
  </r>
  <r>
    <x v="3041"/>
    <x v="3040"/>
    <s v="Privet! Hello! Bon Jour! We are the Arlekin Players Theatre and we need a home."/>
    <n v="8300"/>
    <n v="9170"/>
    <x v="0"/>
    <x v="0"/>
    <x v="0"/>
    <n v="1453323048"/>
    <n v="1450731048"/>
    <b v="0"/>
    <x v="195"/>
    <b v="1"/>
    <x v="38"/>
    <x v="2266"/>
    <n v="8735"/>
    <x v="1"/>
    <x v="38"/>
  </r>
  <r>
    <x v="3042"/>
    <x v="3041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x v="77"/>
    <b v="1"/>
    <x v="38"/>
    <x v="602"/>
    <n v="1710"/>
    <x v="1"/>
    <x v="38"/>
  </r>
  <r>
    <x v="3043"/>
    <x v="3042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x v="130"/>
    <b v="1"/>
    <x v="38"/>
    <x v="2267"/>
    <n v="15750.5"/>
    <x v="1"/>
    <x v="38"/>
  </r>
  <r>
    <x v="3044"/>
    <x v="3043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x v="239"/>
    <b v="1"/>
    <x v="38"/>
    <x v="2268"/>
    <n v="12560.5"/>
    <x v="1"/>
    <x v="38"/>
  </r>
  <r>
    <x v="3045"/>
    <x v="3044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x v="31"/>
    <b v="1"/>
    <x v="38"/>
    <x v="2269"/>
    <n v="4654.13"/>
    <x v="1"/>
    <x v="38"/>
  </r>
  <r>
    <x v="3046"/>
    <x v="3045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x v="6"/>
    <b v="1"/>
    <x v="38"/>
    <x v="2270"/>
    <n v="11488.5"/>
    <x v="1"/>
    <x v="38"/>
  </r>
  <r>
    <x v="3047"/>
    <x v="3046"/>
    <s v="Hi! We're the Graduating Seniors Acting V Seniors at Temple University! Welcome to our Kick starter Page!"/>
    <n v="500"/>
    <n v="745"/>
    <x v="0"/>
    <x v="0"/>
    <x v="0"/>
    <n v="1461762960"/>
    <n v="1457999054"/>
    <b v="0"/>
    <x v="9"/>
    <b v="1"/>
    <x v="38"/>
    <x v="2271"/>
    <n v="622.5"/>
    <x v="1"/>
    <x v="38"/>
  </r>
  <r>
    <x v="3048"/>
    <x v="3047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x v="5"/>
    <b v="1"/>
    <x v="38"/>
    <x v="2272"/>
    <n v="6660"/>
    <x v="1"/>
    <x v="38"/>
  </r>
  <r>
    <x v="3049"/>
    <x v="3048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x v="241"/>
    <b v="1"/>
    <x v="38"/>
    <x v="313"/>
    <n v="3875"/>
    <x v="1"/>
    <x v="38"/>
  </r>
  <r>
    <x v="3050"/>
    <x v="3049"/>
    <s v="Help fund The Black Pearl Consuite at CoreCon VIII: On Ancient Seas!"/>
    <n v="600"/>
    <n v="636"/>
    <x v="0"/>
    <x v="0"/>
    <x v="0"/>
    <n v="1462420960"/>
    <n v="1459828960"/>
    <b v="0"/>
    <x v="82"/>
    <b v="1"/>
    <x v="38"/>
    <x v="938"/>
    <n v="618"/>
    <x v="1"/>
    <x v="38"/>
  </r>
  <r>
    <x v="3051"/>
    <x v="3050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x v="2"/>
    <b v="0"/>
    <x v="38"/>
    <x v="2273"/>
    <n v="2163.5"/>
    <x v="1"/>
    <x v="38"/>
  </r>
  <r>
    <x v="3052"/>
    <x v="3051"/>
    <s v="To let the arts continue in Walker Minnesota We need a performing arts space and art gallery"/>
    <n v="50000"/>
    <n v="75"/>
    <x v="2"/>
    <x v="0"/>
    <x v="0"/>
    <n v="1432828740"/>
    <n v="1430237094"/>
    <b v="0"/>
    <x v="84"/>
    <b v="0"/>
    <x v="38"/>
    <x v="840"/>
    <n v="25037.5"/>
    <x v="1"/>
    <x v="38"/>
  </r>
  <r>
    <x v="3053"/>
    <x v="3052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x v="83"/>
    <b v="0"/>
    <x v="38"/>
    <x v="177"/>
    <n v="5020"/>
    <x v="1"/>
    <x v="38"/>
  </r>
  <r>
    <x v="3054"/>
    <x v="3053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x v="78"/>
    <b v="0"/>
    <x v="38"/>
    <x v="109"/>
    <n v="150"/>
    <x v="1"/>
    <x v="38"/>
  </r>
  <r>
    <x v="3055"/>
    <x v="3054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x v="29"/>
    <b v="0"/>
    <x v="38"/>
    <x v="2274"/>
    <n v="10000.5"/>
    <x v="1"/>
    <x v="38"/>
  </r>
  <r>
    <x v="3056"/>
    <x v="3055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x v="78"/>
    <b v="0"/>
    <x v="38"/>
    <x v="109"/>
    <n v="12500"/>
    <x v="1"/>
    <x v="38"/>
  </r>
  <r>
    <x v="3057"/>
    <x v="3056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x v="78"/>
    <b v="0"/>
    <x v="38"/>
    <x v="109"/>
    <n v="25000"/>
    <x v="1"/>
    <x v="38"/>
  </r>
  <r>
    <x v="3058"/>
    <x v="3057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x v="83"/>
    <b v="0"/>
    <x v="38"/>
    <x v="374"/>
    <n v="9001.5"/>
    <x v="1"/>
    <x v="38"/>
  </r>
  <r>
    <x v="3059"/>
    <x v="3058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x v="202"/>
    <b v="0"/>
    <x v="38"/>
    <x v="2275"/>
    <n v="7725.5"/>
    <x v="1"/>
    <x v="38"/>
  </r>
  <r>
    <x v="3060"/>
    <x v="3059"/>
    <s v="Save the historic Roxy theatre in Bremerton WA from being repurposed as office space."/>
    <n v="220000"/>
    <n v="335"/>
    <x v="2"/>
    <x v="0"/>
    <x v="0"/>
    <n v="1443422134"/>
    <n v="1440830134"/>
    <b v="0"/>
    <x v="79"/>
    <b v="0"/>
    <x v="38"/>
    <x v="2276"/>
    <n v="110167.5"/>
    <x v="1"/>
    <x v="38"/>
  </r>
  <r>
    <x v="3061"/>
    <x v="3060"/>
    <s v="Save a historic Local theater."/>
    <n v="1000000"/>
    <n v="0"/>
    <x v="2"/>
    <x v="0"/>
    <x v="0"/>
    <n v="1407955748"/>
    <n v="1405363748"/>
    <b v="0"/>
    <x v="78"/>
    <b v="0"/>
    <x v="38"/>
    <x v="109"/>
    <n v="500000"/>
    <x v="1"/>
    <x v="38"/>
  </r>
  <r>
    <x v="3062"/>
    <x v="3061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x v="85"/>
    <b v="0"/>
    <x v="38"/>
    <x v="2277"/>
    <n v="8342"/>
    <x v="1"/>
    <x v="38"/>
  </r>
  <r>
    <x v="3063"/>
    <x v="3062"/>
    <s v="Members of the local Miami music scene are putting together a venue/creative space in Kendall!"/>
    <n v="3000"/>
    <n v="587"/>
    <x v="2"/>
    <x v="0"/>
    <x v="0"/>
    <n v="1477174138"/>
    <n v="1474150138"/>
    <b v="0"/>
    <x v="23"/>
    <b v="0"/>
    <x v="38"/>
    <x v="2278"/>
    <n v="1793.5"/>
    <x v="1"/>
    <x v="38"/>
  </r>
  <r>
    <x v="3064"/>
    <x v="3063"/>
    <s v="An epicenter for connection, creation and expression of the community."/>
    <n v="75000"/>
    <n v="8471"/>
    <x v="2"/>
    <x v="0"/>
    <x v="0"/>
    <n v="1448175540"/>
    <n v="1445483246"/>
    <b v="0"/>
    <x v="250"/>
    <b v="0"/>
    <x v="38"/>
    <x v="2279"/>
    <n v="41735.5"/>
    <x v="1"/>
    <x v="38"/>
  </r>
  <r>
    <x v="3065"/>
    <x v="3064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x v="84"/>
    <b v="0"/>
    <x v="38"/>
    <x v="167"/>
    <n v="12505"/>
    <x v="1"/>
    <x v="38"/>
  </r>
  <r>
    <x v="3066"/>
    <x v="3065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x v="41"/>
    <b v="0"/>
    <x v="38"/>
    <x v="2280"/>
    <n v="195975"/>
    <x v="1"/>
    <x v="38"/>
  </r>
  <r>
    <x v="3067"/>
    <x v="3066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x v="29"/>
    <b v="0"/>
    <x v="38"/>
    <x v="453"/>
    <n v="4100"/>
    <x v="1"/>
    <x v="38"/>
  </r>
  <r>
    <x v="3068"/>
    <x v="3067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x v="84"/>
    <b v="0"/>
    <x v="38"/>
    <x v="2281"/>
    <n v="125087.5"/>
    <x v="1"/>
    <x v="38"/>
  </r>
  <r>
    <x v="3069"/>
    <x v="3068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x v="63"/>
    <b v="0"/>
    <x v="38"/>
    <x v="2282"/>
    <n v="570.5"/>
    <x v="1"/>
    <x v="38"/>
  </r>
  <r>
    <x v="3070"/>
    <x v="3069"/>
    <s v="Liverpool's 1st purpose built 7 night a week comedy club, bar &amp; restaurant with live music &amp; much more"/>
    <n v="10000"/>
    <n v="334"/>
    <x v="2"/>
    <x v="1"/>
    <x v="1"/>
    <n v="1481132169"/>
    <n v="1479317769"/>
    <b v="0"/>
    <x v="38"/>
    <b v="0"/>
    <x v="38"/>
    <x v="2283"/>
    <n v="5167"/>
    <x v="1"/>
    <x v="38"/>
  </r>
  <r>
    <x v="3071"/>
    <x v="3070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x v="27"/>
    <b v="0"/>
    <x v="38"/>
    <x v="2284"/>
    <n v="9586.5"/>
    <x v="1"/>
    <x v="38"/>
  </r>
  <r>
    <x v="3072"/>
    <x v="3071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x v="84"/>
    <b v="0"/>
    <x v="38"/>
    <x v="374"/>
    <n v="6001"/>
    <x v="1"/>
    <x v="38"/>
  </r>
  <r>
    <x v="3073"/>
    <x v="3072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x v="63"/>
    <b v="0"/>
    <x v="38"/>
    <x v="2285"/>
    <n v="1400322.5"/>
    <x v="1"/>
    <x v="38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x v="83"/>
    <b v="0"/>
    <x v="38"/>
    <x v="2286"/>
    <n v="12511"/>
    <x v="1"/>
    <x v="38"/>
  </r>
  <r>
    <x v="3075"/>
    <x v="3074"/>
    <s v="Magic Morgan &amp; Liliana are raising funds to expand their famed traveling magic show to a theater of magic."/>
    <n v="15000"/>
    <n v="1296"/>
    <x v="2"/>
    <x v="0"/>
    <x v="0"/>
    <n v="1471573640"/>
    <n v="1467253640"/>
    <b v="0"/>
    <x v="9"/>
    <b v="0"/>
    <x v="38"/>
    <x v="2287"/>
    <n v="8148"/>
    <x v="1"/>
    <x v="38"/>
  </r>
  <r>
    <x v="3076"/>
    <x v="3075"/>
    <s v="Helping female comedians get in their 10,000 Hours of practice!"/>
    <n v="10000"/>
    <n v="1506"/>
    <x v="2"/>
    <x v="0"/>
    <x v="0"/>
    <n v="1444405123"/>
    <n v="1439221123"/>
    <b v="0"/>
    <x v="133"/>
    <b v="0"/>
    <x v="38"/>
    <x v="2288"/>
    <n v="5753"/>
    <x v="1"/>
    <x v="38"/>
  </r>
  <r>
    <x v="3077"/>
    <x v="3076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x v="84"/>
    <b v="0"/>
    <x v="38"/>
    <x v="2289"/>
    <n v="11052.5"/>
    <x v="1"/>
    <x v="38"/>
  </r>
  <r>
    <x v="3078"/>
    <x v="3077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x v="83"/>
    <b v="0"/>
    <x v="38"/>
    <x v="2290"/>
    <n v="30035.5"/>
    <x v="1"/>
    <x v="38"/>
  </r>
  <r>
    <x v="3079"/>
    <x v="3078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x v="74"/>
    <b v="0"/>
    <x v="38"/>
    <x v="2291"/>
    <n v="672446"/>
    <x v="1"/>
    <x v="38"/>
  </r>
  <r>
    <x v="3080"/>
    <x v="3079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x v="63"/>
    <b v="0"/>
    <x v="38"/>
    <x v="2292"/>
    <n v="1000188"/>
    <x v="1"/>
    <x v="38"/>
  </r>
  <r>
    <x v="3081"/>
    <x v="3080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x v="81"/>
    <b v="0"/>
    <x v="38"/>
    <x v="2293"/>
    <n v="501051.5"/>
    <x v="1"/>
    <x v="38"/>
  </r>
  <r>
    <x v="3082"/>
    <x v="3081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x v="78"/>
    <b v="0"/>
    <x v="38"/>
    <x v="109"/>
    <n v="4500"/>
    <x v="1"/>
    <x v="38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x v="83"/>
    <b v="0"/>
    <x v="38"/>
    <x v="1228"/>
    <n v="10028"/>
    <x v="1"/>
    <x v="38"/>
  </r>
  <r>
    <x v="3084"/>
    <x v="3083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x v="79"/>
    <b v="0"/>
    <x v="38"/>
    <x v="2294"/>
    <n v="2264.5"/>
    <x v="1"/>
    <x v="38"/>
  </r>
  <r>
    <x v="3085"/>
    <x v="3084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x v="82"/>
    <b v="0"/>
    <x v="38"/>
    <x v="2295"/>
    <n v="12805"/>
    <x v="1"/>
    <x v="38"/>
  </r>
  <r>
    <x v="3086"/>
    <x v="3085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x v="83"/>
    <b v="0"/>
    <x v="38"/>
    <x v="1161"/>
    <n v="10025"/>
    <x v="1"/>
    <x v="38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x v="84"/>
    <b v="0"/>
    <x v="38"/>
    <x v="895"/>
    <n v="10062.5"/>
    <x v="1"/>
    <x v="38"/>
  </r>
  <r>
    <x v="3088"/>
    <x v="3087"/>
    <s v="We believe it's time to open a visitor's center that highlights the small towns of the upper Midwest."/>
    <n v="65000"/>
    <n v="126"/>
    <x v="2"/>
    <x v="0"/>
    <x v="0"/>
    <n v="1420724460"/>
    <n v="1418046247"/>
    <b v="0"/>
    <x v="83"/>
    <b v="0"/>
    <x v="38"/>
    <x v="2296"/>
    <n v="32563"/>
    <x v="1"/>
    <x v="38"/>
  </r>
  <r>
    <x v="3089"/>
    <x v="3088"/>
    <s v="A community space in Somerville, MA to celebrate the beautiful intersection of sports and creativity."/>
    <n v="25000"/>
    <n v="5854"/>
    <x v="2"/>
    <x v="0"/>
    <x v="0"/>
    <n v="1468029540"/>
    <n v="1465304483"/>
    <b v="0"/>
    <x v="43"/>
    <b v="0"/>
    <x v="38"/>
    <x v="2297"/>
    <n v="15427"/>
    <x v="1"/>
    <x v="38"/>
  </r>
  <r>
    <x v="3090"/>
    <x v="3089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x v="82"/>
    <b v="0"/>
    <x v="38"/>
    <x v="2298"/>
    <n v="118216"/>
    <x v="1"/>
    <x v="38"/>
  </r>
  <r>
    <x v="3091"/>
    <x v="3090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x v="82"/>
    <b v="0"/>
    <x v="38"/>
    <x v="2299"/>
    <n v="2898"/>
    <x v="1"/>
    <x v="38"/>
  </r>
  <r>
    <x v="3092"/>
    <x v="3091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x v="64"/>
    <b v="0"/>
    <x v="38"/>
    <x v="2300"/>
    <n v="50591.595000000001"/>
    <x v="1"/>
    <x v="38"/>
  </r>
  <r>
    <x v="3093"/>
    <x v="3092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x v="57"/>
    <b v="0"/>
    <x v="38"/>
    <x v="2301"/>
    <n v="2455"/>
    <x v="1"/>
    <x v="38"/>
  </r>
  <r>
    <x v="3094"/>
    <x v="3093"/>
    <s v="This is a Kickstarter to help with the start up costs for Illusionist, Chris Lengyel's Summer 2016 Tour!"/>
    <n v="100000"/>
    <n v="25"/>
    <x v="2"/>
    <x v="0"/>
    <x v="0"/>
    <n v="1442775956"/>
    <n v="1437591956"/>
    <b v="0"/>
    <x v="29"/>
    <b v="0"/>
    <x v="38"/>
    <x v="1866"/>
    <n v="50012.5"/>
    <x v="1"/>
    <x v="38"/>
  </r>
  <r>
    <x v="3095"/>
    <x v="3094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x v="29"/>
    <b v="0"/>
    <x v="38"/>
    <x v="2302"/>
    <n v="7485"/>
    <x v="1"/>
    <x v="38"/>
  </r>
  <r>
    <x v="3096"/>
    <x v="3095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x v="25"/>
    <b v="0"/>
    <x v="38"/>
    <x v="2303"/>
    <n v="10397.5"/>
    <x v="1"/>
    <x v="38"/>
  </r>
  <r>
    <x v="3097"/>
    <x v="3096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x v="288"/>
    <b v="0"/>
    <x v="38"/>
    <x v="2304"/>
    <n v="5857.5"/>
    <x v="1"/>
    <x v="38"/>
  </r>
  <r>
    <x v="3098"/>
    <x v="3097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x v="74"/>
    <b v="0"/>
    <x v="38"/>
    <x v="2305"/>
    <n v="25241.5"/>
    <x v="1"/>
    <x v="38"/>
  </r>
  <r>
    <x v="3099"/>
    <x v="3098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x v="81"/>
    <b v="0"/>
    <x v="38"/>
    <x v="2306"/>
    <n v="1139"/>
    <x v="1"/>
    <x v="38"/>
  </r>
  <r>
    <x v="3100"/>
    <x v="3099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x v="62"/>
    <b v="0"/>
    <x v="38"/>
    <x v="2307"/>
    <n v="6913.5"/>
    <x v="1"/>
    <x v="38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x v="8"/>
    <b v="0"/>
    <x v="38"/>
    <x v="746"/>
    <n v="1400"/>
    <x v="1"/>
    <x v="38"/>
  </r>
  <r>
    <x v="3102"/>
    <x v="3101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x v="240"/>
    <b v="0"/>
    <x v="38"/>
    <x v="2308"/>
    <n v="11129"/>
    <x v="1"/>
    <x v="38"/>
  </r>
  <r>
    <x v="3103"/>
    <x v="3102"/>
    <s v="Creating a place for local artists to perform, at substantially less cost for them"/>
    <n v="4100"/>
    <n v="11"/>
    <x v="2"/>
    <x v="0"/>
    <x v="0"/>
    <n v="1434080706"/>
    <n v="1428896706"/>
    <b v="0"/>
    <x v="84"/>
    <b v="0"/>
    <x v="38"/>
    <x v="2309"/>
    <n v="2055.5"/>
    <x v="1"/>
    <x v="38"/>
  </r>
  <r>
    <x v="3104"/>
    <x v="3103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x v="81"/>
    <b v="0"/>
    <x v="38"/>
    <x v="2310"/>
    <n v="2592.5"/>
    <x v="1"/>
    <x v="38"/>
  </r>
  <r>
    <x v="3105"/>
    <x v="3104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x v="162"/>
    <b v="0"/>
    <x v="38"/>
    <x v="2311"/>
    <n v="4160.5"/>
    <x v="1"/>
    <x v="38"/>
  </r>
  <r>
    <x v="3106"/>
    <x v="3105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x v="80"/>
    <b v="0"/>
    <x v="38"/>
    <x v="2312"/>
    <n v="520.5"/>
    <x v="1"/>
    <x v="38"/>
  </r>
  <r>
    <x v="3107"/>
    <x v="3106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x v="60"/>
    <b v="0"/>
    <x v="38"/>
    <x v="2313"/>
    <n v="23952.5"/>
    <x v="1"/>
    <x v="38"/>
  </r>
  <r>
    <x v="3108"/>
    <x v="3107"/>
    <s v="We need a permanent home for the theater!"/>
    <n v="50000"/>
    <n v="26"/>
    <x v="2"/>
    <x v="0"/>
    <x v="0"/>
    <n v="1430234394"/>
    <n v="1425053994"/>
    <b v="0"/>
    <x v="84"/>
    <b v="0"/>
    <x v="38"/>
    <x v="2314"/>
    <n v="25013"/>
    <x v="1"/>
    <x v="38"/>
  </r>
  <r>
    <x v="3109"/>
    <x v="3108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x v="229"/>
    <b v="0"/>
    <x v="38"/>
    <x v="2315"/>
    <n v="16566.5"/>
    <x v="1"/>
    <x v="38"/>
  </r>
  <r>
    <x v="3110"/>
    <x v="3109"/>
    <s v="Cat People Unite! It's time we get a space of our own to relax, socialize and learn! Join the Catmunity!"/>
    <n v="25000"/>
    <n v="10"/>
    <x v="2"/>
    <x v="0"/>
    <x v="0"/>
    <n v="1487465119"/>
    <n v="1484009119"/>
    <b v="0"/>
    <x v="29"/>
    <b v="0"/>
    <x v="38"/>
    <x v="167"/>
    <n v="12505"/>
    <x v="1"/>
    <x v="38"/>
  </r>
  <r>
    <x v="3111"/>
    <x v="3110"/>
    <s v="Help All Puppet Players perform it's 2015 season in a beautiful 200 seat theater for an entire year."/>
    <n v="20000"/>
    <n v="5328"/>
    <x v="2"/>
    <x v="0"/>
    <x v="0"/>
    <n v="1412432220"/>
    <n v="1409753820"/>
    <b v="0"/>
    <x v="88"/>
    <b v="0"/>
    <x v="38"/>
    <x v="2316"/>
    <n v="12664"/>
    <x v="1"/>
    <x v="38"/>
  </r>
  <r>
    <x v="3112"/>
    <x v="3111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x v="82"/>
    <b v="0"/>
    <x v="38"/>
    <x v="2317"/>
    <n v="5760.5"/>
    <x v="1"/>
    <x v="38"/>
  </r>
  <r>
    <x v="3113"/>
    <x v="3112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x v="77"/>
    <b v="0"/>
    <x v="38"/>
    <x v="2318"/>
    <n v="56930"/>
    <x v="1"/>
    <x v="38"/>
  </r>
  <r>
    <x v="3114"/>
    <x v="3113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x v="78"/>
    <b v="0"/>
    <x v="38"/>
    <x v="109"/>
    <n v="37500"/>
    <x v="1"/>
    <x v="38"/>
  </r>
  <r>
    <x v="3115"/>
    <x v="3114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x v="29"/>
    <b v="0"/>
    <x v="38"/>
    <x v="419"/>
    <n v="5150"/>
    <x v="1"/>
    <x v="38"/>
  </r>
  <r>
    <x v="3116"/>
    <x v="3115"/>
    <s v="Creating a consuite for CoreCon. A focus on the insanity of asylums and early medical practices from history."/>
    <n v="750"/>
    <n v="430"/>
    <x v="2"/>
    <x v="0"/>
    <x v="0"/>
    <n v="1427890925"/>
    <n v="1426681325"/>
    <b v="0"/>
    <x v="73"/>
    <b v="0"/>
    <x v="38"/>
    <x v="2319"/>
    <n v="590"/>
    <x v="1"/>
    <x v="38"/>
  </r>
  <r>
    <x v="3117"/>
    <x v="3116"/>
    <s v="Performing Arts workshops, for young people aged 5 -16, exploring how the sea has shaped Cowes as a settlement."/>
    <n v="1000"/>
    <n v="1"/>
    <x v="2"/>
    <x v="1"/>
    <x v="1"/>
    <n v="1464354720"/>
    <n v="1463648360"/>
    <b v="0"/>
    <x v="29"/>
    <b v="0"/>
    <x v="38"/>
    <x v="370"/>
    <n v="500.5"/>
    <x v="1"/>
    <x v="38"/>
  </r>
  <r>
    <x v="3118"/>
    <x v="3117"/>
    <s v="a magical place for all kind of people, like a fairytaile in all colours"/>
    <n v="500000"/>
    <n v="1550"/>
    <x v="2"/>
    <x v="11"/>
    <x v="9"/>
    <n v="1467473723"/>
    <n v="1465832123"/>
    <b v="0"/>
    <x v="84"/>
    <b v="0"/>
    <x v="38"/>
    <x v="691"/>
    <n v="250775"/>
    <x v="1"/>
    <x v="38"/>
  </r>
  <r>
    <x v="3119"/>
    <x v="3118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x v="29"/>
    <b v="0"/>
    <x v="38"/>
    <x v="833"/>
    <n v="5002.5"/>
    <x v="1"/>
    <x v="38"/>
  </r>
  <r>
    <x v="3120"/>
    <x v="3119"/>
    <s v="Wij willen Tropicana het subtropisch zwemparadijs van Rotterdam op een nieuwe locatie gaan bouwen."/>
    <n v="1300000"/>
    <n v="128"/>
    <x v="2"/>
    <x v="9"/>
    <x v="3"/>
    <n v="1462484196"/>
    <n v="1457303796"/>
    <b v="0"/>
    <x v="73"/>
    <b v="0"/>
    <x v="38"/>
    <x v="2320"/>
    <n v="650064"/>
    <x v="1"/>
    <x v="38"/>
  </r>
  <r>
    <x v="3121"/>
    <x v="3120"/>
    <s v="I going to build a theatre for a local ant farm so that Ants can put on their theatre productions."/>
    <n v="1500"/>
    <n v="10"/>
    <x v="1"/>
    <x v="5"/>
    <x v="5"/>
    <n v="1411748335"/>
    <n v="1406564335"/>
    <b v="0"/>
    <x v="29"/>
    <b v="0"/>
    <x v="38"/>
    <x v="886"/>
    <n v="755"/>
    <x v="1"/>
    <x v="38"/>
  </r>
  <r>
    <x v="3122"/>
    <x v="3121"/>
    <s v="cancelled until further notice"/>
    <n v="199"/>
    <n v="116"/>
    <x v="1"/>
    <x v="0"/>
    <x v="0"/>
    <n v="1478733732"/>
    <n v="1478298132"/>
    <b v="0"/>
    <x v="84"/>
    <b v="0"/>
    <x v="38"/>
    <x v="2321"/>
    <n v="157.5"/>
    <x v="1"/>
    <x v="38"/>
  </r>
  <r>
    <x v="3123"/>
    <x v="3122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x v="493"/>
    <b v="0"/>
    <x v="38"/>
    <x v="2322"/>
    <n v="105096"/>
    <x v="1"/>
    <x v="38"/>
  </r>
  <r>
    <x v="3124"/>
    <x v="3123"/>
    <s v="A place where kids/ teens' dreams come true, and one finds there home without sparkly red shoes!"/>
    <n v="800000"/>
    <n v="26"/>
    <x v="1"/>
    <x v="0"/>
    <x v="0"/>
    <n v="1422902601"/>
    <n v="1417718601"/>
    <b v="0"/>
    <x v="80"/>
    <b v="0"/>
    <x v="38"/>
    <x v="2323"/>
    <n v="400013"/>
    <x v="1"/>
    <x v="38"/>
  </r>
  <r>
    <x v="3125"/>
    <x v="3124"/>
    <s v="N/A"/>
    <n v="1500000"/>
    <n v="0"/>
    <x v="1"/>
    <x v="0"/>
    <x v="0"/>
    <n v="1452142672"/>
    <n v="1449550672"/>
    <b v="0"/>
    <x v="78"/>
    <b v="0"/>
    <x v="38"/>
    <x v="109"/>
    <n v="750000"/>
    <x v="1"/>
    <x v="38"/>
  </r>
  <r>
    <x v="3126"/>
    <x v="3125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x v="57"/>
    <b v="0"/>
    <x v="38"/>
    <x v="2324"/>
    <n v="13020"/>
    <x v="1"/>
    <x v="38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x v="78"/>
    <b v="0"/>
    <x v="38"/>
    <x v="109"/>
    <n v="50000"/>
    <x v="1"/>
    <x v="38"/>
  </r>
  <r>
    <x v="3128"/>
    <x v="3127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x v="27"/>
    <b v="0"/>
    <x v="6"/>
    <x v="2325"/>
    <n v="15645.5"/>
    <x v="1"/>
    <x v="6"/>
  </r>
  <r>
    <x v="3129"/>
    <x v="3128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x v="29"/>
    <b v="0"/>
    <x v="6"/>
    <x v="417"/>
    <n v="630"/>
    <x v="1"/>
    <x v="6"/>
  </r>
  <r>
    <x v="3130"/>
    <x v="3129"/>
    <s v="A shockingly relevant modern take on a 2,000-year-old tragedy that confronts current gender politics."/>
    <n v="10000"/>
    <n v="375"/>
    <x v="3"/>
    <x v="0"/>
    <x v="0"/>
    <n v="1492145940"/>
    <n v="1489504916"/>
    <b v="0"/>
    <x v="80"/>
    <b v="0"/>
    <x v="6"/>
    <x v="2326"/>
    <n v="5187.5"/>
    <x v="1"/>
    <x v="6"/>
  </r>
  <r>
    <x v="3131"/>
    <x v="3130"/>
    <s v="A Staged Reading of &quot;Snake Eyes,&quot; a new play by Alex Rafala"/>
    <n v="4100"/>
    <n v="645"/>
    <x v="3"/>
    <x v="0"/>
    <x v="0"/>
    <n v="1491656045"/>
    <n v="1489067645"/>
    <b v="0"/>
    <x v="8"/>
    <b v="0"/>
    <x v="6"/>
    <x v="2327"/>
    <n v="2372.5"/>
    <x v="1"/>
    <x v="6"/>
  </r>
  <r>
    <x v="3132"/>
    <x v="3131"/>
    <s v="Smells Like Money, Drips Like Honey, Taste Like Mocha, Better Run AWAY"/>
    <n v="30000"/>
    <n v="10"/>
    <x v="3"/>
    <x v="0"/>
    <x v="0"/>
    <n v="1492759460"/>
    <n v="1487579060"/>
    <b v="0"/>
    <x v="29"/>
    <b v="0"/>
    <x v="6"/>
    <x v="108"/>
    <n v="15005"/>
    <x v="1"/>
    <x v="6"/>
  </r>
  <r>
    <x v="3133"/>
    <x v="3132"/>
    <s v="TwentySomething is taking Hell Has No Fury to Edinburgh! _x000a_We're looking for your support to get us there."/>
    <n v="500"/>
    <n v="540"/>
    <x v="3"/>
    <x v="1"/>
    <x v="1"/>
    <n v="1490358834"/>
    <n v="1487770434"/>
    <b v="0"/>
    <x v="38"/>
    <b v="0"/>
    <x v="6"/>
    <x v="1277"/>
    <n v="520"/>
    <x v="1"/>
    <x v="6"/>
  </r>
  <r>
    <x v="3134"/>
    <x v="3133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x v="8"/>
    <b v="0"/>
    <x v="6"/>
    <x v="2328"/>
    <n v="612.5"/>
    <x v="1"/>
    <x v="6"/>
  </r>
  <r>
    <x v="3135"/>
    <x v="3134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x v="63"/>
    <b v="0"/>
    <x v="6"/>
    <x v="2329"/>
    <n v="469.5"/>
    <x v="1"/>
    <x v="6"/>
  </r>
  <r>
    <x v="3136"/>
    <x v="3135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x v="19"/>
    <b v="0"/>
    <x v="6"/>
    <x v="2330"/>
    <n v="569.5"/>
    <x v="1"/>
    <x v="6"/>
  </r>
  <r>
    <x v="3137"/>
    <x v="3136"/>
    <s v="Set in 1930s Chinatown, evocative of old world South Jackson Street during the Jazz era."/>
    <n v="1500"/>
    <n v="50"/>
    <x v="3"/>
    <x v="0"/>
    <x v="0"/>
    <n v="1493838720"/>
    <n v="1489439669"/>
    <b v="0"/>
    <x v="29"/>
    <b v="0"/>
    <x v="6"/>
    <x v="422"/>
    <n v="775"/>
    <x v="1"/>
    <x v="6"/>
  </r>
  <r>
    <x v="3138"/>
    <x v="3137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x v="78"/>
    <b v="0"/>
    <x v="6"/>
    <x v="109"/>
    <n v="100"/>
    <x v="1"/>
    <x v="6"/>
  </r>
  <r>
    <x v="3139"/>
    <x v="3138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x v="79"/>
    <b v="0"/>
    <x v="6"/>
    <x v="2331"/>
    <n v="26350"/>
    <x v="1"/>
    <x v="6"/>
  </r>
  <r>
    <x v="3140"/>
    <x v="3139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x v="80"/>
    <b v="0"/>
    <x v="6"/>
    <x v="2332"/>
    <n v="5048"/>
    <x v="1"/>
    <x v="6"/>
  </r>
  <r>
    <x v="3141"/>
    <x v="3140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x v="22"/>
    <b v="0"/>
    <x v="6"/>
    <x v="2333"/>
    <n v="379"/>
    <x v="1"/>
    <x v="6"/>
  </r>
  <r>
    <x v="3142"/>
    <x v="3141"/>
    <s v="Our aim is to deliver a powerful piece of theatre to audiences across the UK, including Edinburgh Fringe (2017)."/>
    <n v="2750"/>
    <n v="45"/>
    <x v="3"/>
    <x v="1"/>
    <x v="1"/>
    <n v="1489922339"/>
    <n v="1487333939"/>
    <b v="0"/>
    <x v="83"/>
    <b v="0"/>
    <x v="6"/>
    <x v="2334"/>
    <n v="1397.5"/>
    <x v="1"/>
    <x v="6"/>
  </r>
  <r>
    <x v="3143"/>
    <x v="3142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x v="78"/>
    <b v="0"/>
    <x v="6"/>
    <x v="109"/>
    <n v="350"/>
    <x v="1"/>
    <x v="6"/>
  </r>
  <r>
    <x v="3144"/>
    <x v="3143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x v="209"/>
    <b v="0"/>
    <x v="6"/>
    <x v="2335"/>
    <n v="8770"/>
    <x v="1"/>
    <x v="6"/>
  </r>
  <r>
    <x v="3145"/>
    <x v="3144"/>
    <s v="Dominion Theatre Company is the first community dinner theatre  to be established in Arlington TX."/>
    <n v="25000"/>
    <n v="0"/>
    <x v="3"/>
    <x v="0"/>
    <x v="0"/>
    <n v="1490659134"/>
    <n v="1485478734"/>
    <b v="0"/>
    <x v="78"/>
    <b v="0"/>
    <x v="6"/>
    <x v="109"/>
    <n v="12500"/>
    <x v="1"/>
    <x v="6"/>
  </r>
  <r>
    <x v="3146"/>
    <x v="3145"/>
    <s v="Somos... Podemos... Amamos... Nuestra muralla, nuestra utopÃ­a. Que el amor sea el lÃ­mite"/>
    <n v="50000"/>
    <n v="5250"/>
    <x v="3"/>
    <x v="14"/>
    <x v="10"/>
    <n v="1492356166"/>
    <n v="1488471766"/>
    <b v="0"/>
    <x v="8"/>
    <b v="0"/>
    <x v="6"/>
    <x v="1131"/>
    <n v="27625"/>
    <x v="1"/>
    <x v="6"/>
  </r>
  <r>
    <x v="3147"/>
    <x v="3146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x v="496"/>
    <b v="1"/>
    <x v="6"/>
    <x v="2336"/>
    <n v="21752.5"/>
    <x v="1"/>
    <x v="6"/>
  </r>
  <r>
    <x v="3148"/>
    <x v="3147"/>
    <s v="Help fund The Aurora Project, an immersive science fiction epic."/>
    <n v="1800"/>
    <n v="2361"/>
    <x v="0"/>
    <x v="0"/>
    <x v="0"/>
    <n v="1412136000"/>
    <n v="1410278284"/>
    <b v="1"/>
    <x v="7"/>
    <b v="1"/>
    <x v="6"/>
    <x v="2337"/>
    <n v="2080.5"/>
    <x v="1"/>
    <x v="6"/>
  </r>
  <r>
    <x v="3149"/>
    <x v="3148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x v="20"/>
    <b v="1"/>
    <x v="6"/>
    <x v="87"/>
    <n v="1275"/>
    <x v="1"/>
    <x v="6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x v="201"/>
    <b v="1"/>
    <x v="6"/>
    <x v="50"/>
    <n v="3517.5"/>
    <x v="1"/>
    <x v="6"/>
  </r>
  <r>
    <x v="3151"/>
    <x v="3150"/>
    <s v="A Multi-Media Puppet Show, with large cable control puppets to tell a hilarious story for all ages."/>
    <n v="3500"/>
    <n v="3514"/>
    <x v="0"/>
    <x v="0"/>
    <x v="0"/>
    <n v="1410379774"/>
    <n v="1407787774"/>
    <b v="1"/>
    <x v="69"/>
    <b v="1"/>
    <x v="6"/>
    <x v="84"/>
    <n v="3507"/>
    <x v="1"/>
    <x v="6"/>
  </r>
  <r>
    <x v="3152"/>
    <x v="3151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x v="85"/>
    <b v="1"/>
    <x v="6"/>
    <x v="2338"/>
    <n v="2265.5"/>
    <x v="1"/>
    <x v="6"/>
  </r>
  <r>
    <x v="3153"/>
    <x v="3152"/>
    <s v="A stage production of Terminator 2: Judgment Day, composed entirely of the words of William Shakespeare"/>
    <n v="3000"/>
    <n v="10067.5"/>
    <x v="0"/>
    <x v="0"/>
    <x v="0"/>
    <n v="1304225940"/>
    <n v="1301542937"/>
    <b v="1"/>
    <x v="198"/>
    <b v="1"/>
    <x v="6"/>
    <x v="2339"/>
    <n v="6533.75"/>
    <x v="1"/>
    <x v="6"/>
  </r>
  <r>
    <x v="3154"/>
    <x v="3153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x v="252"/>
    <b v="1"/>
    <x v="6"/>
    <x v="2340"/>
    <n v="7452.5"/>
    <x v="1"/>
    <x v="6"/>
  </r>
  <r>
    <x v="3155"/>
    <x v="3154"/>
    <s v="We want to take our stage adaptation of Studio Ghibli's 'Princess Mononoke' to more people.  Help us do it!"/>
    <n v="5000"/>
    <n v="9425.23"/>
    <x v="0"/>
    <x v="1"/>
    <x v="1"/>
    <n v="1356004725"/>
    <n v="1353412725"/>
    <b v="1"/>
    <x v="177"/>
    <b v="1"/>
    <x v="6"/>
    <x v="2341"/>
    <n v="7212.6149999999998"/>
    <x v="1"/>
    <x v="6"/>
  </r>
  <r>
    <x v="3156"/>
    <x v="3155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x v="30"/>
    <b v="1"/>
    <x v="6"/>
    <x v="2342"/>
    <n v="5550"/>
    <x v="1"/>
    <x v="6"/>
  </r>
  <r>
    <x v="3157"/>
    <x v="3156"/>
    <s v="Four Directors.  Four One Acts.  Four Genres.  For You."/>
    <n v="4000"/>
    <n v="4040"/>
    <x v="0"/>
    <x v="0"/>
    <x v="0"/>
    <n v="1405746000"/>
    <n v="1404932105"/>
    <b v="1"/>
    <x v="14"/>
    <b v="1"/>
    <x v="6"/>
    <x v="50"/>
    <n v="4020"/>
    <x v="1"/>
    <x v="6"/>
  </r>
  <r>
    <x v="3158"/>
    <x v="3157"/>
    <s v="A 40s crime-noir play using nursery rhyme characters."/>
    <n v="5000"/>
    <n v="5700"/>
    <x v="0"/>
    <x v="0"/>
    <x v="0"/>
    <n v="1374523752"/>
    <n v="1371931752"/>
    <b v="1"/>
    <x v="50"/>
    <b v="1"/>
    <x v="6"/>
    <x v="430"/>
    <n v="5350"/>
    <x v="1"/>
    <x v="6"/>
  </r>
  <r>
    <x v="3159"/>
    <x v="3158"/>
    <s v="WAXWING is an exciting new world premiere of mythic (perhaps even apocalyptic!) proportions."/>
    <n v="1500"/>
    <n v="2002.22"/>
    <x v="0"/>
    <x v="0"/>
    <x v="0"/>
    <n v="1326927600"/>
    <n v="1323221761"/>
    <b v="1"/>
    <x v="47"/>
    <b v="1"/>
    <x v="6"/>
    <x v="2343"/>
    <n v="1751.1100000000001"/>
    <x v="1"/>
    <x v="6"/>
  </r>
  <r>
    <x v="3160"/>
    <x v="3159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x v="7"/>
    <b v="1"/>
    <x v="6"/>
    <x v="1400"/>
    <n v="4534.5"/>
    <x v="1"/>
    <x v="6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x v="142"/>
    <b v="1"/>
    <x v="6"/>
    <x v="2344"/>
    <n v="2051"/>
    <x v="1"/>
    <x v="6"/>
  </r>
  <r>
    <x v="3162"/>
    <x v="3161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x v="287"/>
    <b v="1"/>
    <x v="6"/>
    <x v="2345"/>
    <n v="4543"/>
    <x v="1"/>
    <x v="6"/>
  </r>
  <r>
    <x v="3163"/>
    <x v="3162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x v="250"/>
    <b v="1"/>
    <x v="6"/>
    <x v="2346"/>
    <n v="13725"/>
    <x v="1"/>
    <x v="6"/>
  </r>
  <r>
    <x v="3164"/>
    <x v="3163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x v="26"/>
    <b v="1"/>
    <x v="6"/>
    <x v="2347"/>
    <n v="2584.5"/>
    <x v="1"/>
    <x v="6"/>
  </r>
  <r>
    <x v="3165"/>
    <x v="3164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x v="64"/>
    <b v="1"/>
    <x v="6"/>
    <x v="2348"/>
    <n v="985"/>
    <x v="1"/>
    <x v="6"/>
  </r>
  <r>
    <x v="3166"/>
    <x v="3165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x v="497"/>
    <b v="1"/>
    <x v="6"/>
    <x v="2349"/>
    <n v="45539.915000000001"/>
    <x v="1"/>
    <x v="6"/>
  </r>
  <r>
    <x v="3167"/>
    <x v="3166"/>
    <s v="What is destiny? Explore it with us this August at FringeNYC."/>
    <n v="3000"/>
    <n v="3485"/>
    <x v="0"/>
    <x v="0"/>
    <x v="0"/>
    <n v="1406952781"/>
    <n v="1405743181"/>
    <b v="1"/>
    <x v="165"/>
    <b v="1"/>
    <x v="6"/>
    <x v="2350"/>
    <n v="3242.5"/>
    <x v="1"/>
    <x v="6"/>
  </r>
  <r>
    <x v="3168"/>
    <x v="3167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x v="42"/>
    <b v="1"/>
    <x v="6"/>
    <x v="2351"/>
    <n v="2802.5"/>
    <x v="1"/>
    <x v="6"/>
  </r>
  <r>
    <x v="3169"/>
    <x v="3168"/>
    <s v="We're bringing The Window to the Cherry Lane Theater in January 2014."/>
    <n v="8000"/>
    <n v="8241"/>
    <x v="0"/>
    <x v="0"/>
    <x v="0"/>
    <n v="1386910740"/>
    <n v="1384364561"/>
    <b v="1"/>
    <x v="141"/>
    <b v="1"/>
    <x v="6"/>
    <x v="2352"/>
    <n v="8120.5"/>
    <x v="1"/>
    <x v="6"/>
  </r>
  <r>
    <x v="3170"/>
    <x v="3169"/>
    <s v="An emotionally-charged journey through the history of black women in America told in reverse."/>
    <n v="2000"/>
    <n v="2245"/>
    <x v="0"/>
    <x v="0"/>
    <x v="0"/>
    <n v="1404273600"/>
    <n v="1401414944"/>
    <b v="1"/>
    <x v="26"/>
    <b v="1"/>
    <x v="6"/>
    <x v="2353"/>
    <n v="2122.5"/>
    <x v="1"/>
    <x v="6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x v="27"/>
    <b v="1"/>
    <x v="6"/>
    <x v="2354"/>
    <n v="7308.5"/>
    <x v="1"/>
    <x v="6"/>
  </r>
  <r>
    <x v="3172"/>
    <x v="3171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x v="60"/>
    <b v="1"/>
    <x v="6"/>
    <x v="935"/>
    <n v="2150"/>
    <x v="1"/>
    <x v="6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x v="142"/>
    <b v="1"/>
    <x v="6"/>
    <x v="288"/>
    <n v="10150"/>
    <x v="1"/>
    <x v="6"/>
  </r>
  <r>
    <x v="3174"/>
    <x v="3173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x v="23"/>
    <b v="1"/>
    <x v="6"/>
    <x v="2355"/>
    <n v="3017"/>
    <x v="1"/>
    <x v="6"/>
  </r>
  <r>
    <x v="3175"/>
    <x v="3174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x v="65"/>
    <b v="1"/>
    <x v="6"/>
    <x v="2356"/>
    <n v="5239"/>
    <x v="1"/>
    <x v="6"/>
  </r>
  <r>
    <x v="3176"/>
    <x v="3175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x v="165"/>
    <b v="1"/>
    <x v="6"/>
    <x v="2357"/>
    <n v="2041"/>
    <x v="1"/>
    <x v="6"/>
  </r>
  <r>
    <x v="3177"/>
    <x v="3176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x v="13"/>
    <b v="1"/>
    <x v="6"/>
    <x v="2358"/>
    <n v="2717.5"/>
    <x v="1"/>
    <x v="6"/>
  </r>
  <r>
    <x v="3178"/>
    <x v="3177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x v="76"/>
    <b v="1"/>
    <x v="6"/>
    <x v="2359"/>
    <n v="2038"/>
    <x v="1"/>
    <x v="6"/>
  </r>
  <r>
    <x v="3179"/>
    <x v="3178"/>
    <s v="A Sci-fi play in several vignettes that will narrate an alternate history in the mid-20th century."/>
    <n v="4200"/>
    <n v="4794.82"/>
    <x v="0"/>
    <x v="0"/>
    <x v="0"/>
    <n v="1367859071"/>
    <n v="1365699071"/>
    <b v="1"/>
    <x v="95"/>
    <b v="1"/>
    <x v="6"/>
    <x v="2360"/>
    <n v="4497.41"/>
    <x v="1"/>
    <x v="6"/>
  </r>
  <r>
    <x v="3180"/>
    <x v="3179"/>
    <s v="A new tale of witches, fairies, cat-hunters and and bone-boilers from London theatre company Broken Glass."/>
    <n v="1200"/>
    <n v="1437"/>
    <x v="0"/>
    <x v="1"/>
    <x v="1"/>
    <n v="1403258049"/>
    <n v="1400666049"/>
    <b v="1"/>
    <x v="43"/>
    <b v="1"/>
    <x v="6"/>
    <x v="2361"/>
    <n v="1318.5"/>
    <x v="1"/>
    <x v="6"/>
  </r>
  <r>
    <x v="3181"/>
    <x v="3180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x v="41"/>
    <b v="1"/>
    <x v="6"/>
    <x v="2206"/>
    <n v="522.5"/>
    <x v="1"/>
    <x v="6"/>
  </r>
  <r>
    <x v="3182"/>
    <x v="3181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x v="299"/>
    <b v="1"/>
    <x v="6"/>
    <x v="2191"/>
    <n v="7031"/>
    <x v="1"/>
    <x v="6"/>
  </r>
  <r>
    <x v="3183"/>
    <x v="3182"/>
    <s v="Anton Chekhov's The Seagull. An outdoor Amphitheater in Manhattan. Trees. A River. Daybreak."/>
    <n v="2500"/>
    <n v="2725"/>
    <x v="0"/>
    <x v="0"/>
    <x v="0"/>
    <n v="1377284669"/>
    <n v="1375729469"/>
    <b v="1"/>
    <x v="32"/>
    <b v="1"/>
    <x v="6"/>
    <x v="2206"/>
    <n v="2612.5"/>
    <x v="1"/>
    <x v="6"/>
  </r>
  <r>
    <x v="3184"/>
    <x v="3183"/>
    <s v="Equus is the story of a psychiatrist treating a teenaged boy who blinds six horses with a metal spike."/>
    <n v="4300"/>
    <n v="4610"/>
    <x v="0"/>
    <x v="0"/>
    <x v="0"/>
    <n v="1404258631"/>
    <n v="1401666631"/>
    <b v="1"/>
    <x v="67"/>
    <b v="1"/>
    <x v="6"/>
    <x v="2362"/>
    <n v="4455"/>
    <x v="1"/>
    <x v="6"/>
  </r>
  <r>
    <x v="3185"/>
    <x v="3184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x v="54"/>
    <b v="1"/>
    <x v="6"/>
    <x v="31"/>
    <n v="1000"/>
    <x v="1"/>
    <x v="6"/>
  </r>
  <r>
    <x v="3186"/>
    <x v="3185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x v="16"/>
    <b v="1"/>
    <x v="6"/>
    <x v="2363"/>
    <n v="3235"/>
    <x v="1"/>
    <x v="6"/>
  </r>
  <r>
    <x v="3187"/>
    <x v="3186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x v="138"/>
    <b v="1"/>
    <x v="6"/>
    <x v="2364"/>
    <n v="16222"/>
    <x v="1"/>
    <x v="6"/>
  </r>
  <r>
    <x v="3188"/>
    <x v="3187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x v="82"/>
    <b v="0"/>
    <x v="40"/>
    <x v="2365"/>
    <n v="165"/>
    <x v="1"/>
    <x v="40"/>
  </r>
  <r>
    <x v="3189"/>
    <x v="3188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x v="10"/>
    <b v="0"/>
    <x v="40"/>
    <x v="2366"/>
    <n v="30890"/>
    <x v="1"/>
    <x v="40"/>
  </r>
  <r>
    <x v="3190"/>
    <x v="3189"/>
    <s v="Call It A Day Productions is putting on their first full production in December and every little bit helps!"/>
    <n v="4000"/>
    <n v="0"/>
    <x v="2"/>
    <x v="5"/>
    <x v="5"/>
    <n v="1481258275"/>
    <n v="1478662675"/>
    <b v="0"/>
    <x v="78"/>
    <b v="0"/>
    <x v="40"/>
    <x v="109"/>
    <n v="2000"/>
    <x v="1"/>
    <x v="40"/>
  </r>
  <r>
    <x v="3191"/>
    <x v="3190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x v="80"/>
    <b v="0"/>
    <x v="40"/>
    <x v="2367"/>
    <n v="1950.5"/>
    <x v="1"/>
    <x v="40"/>
  </r>
  <r>
    <x v="3192"/>
    <x v="3191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x v="22"/>
    <b v="0"/>
    <x v="40"/>
    <x v="391"/>
    <n v="5051"/>
    <x v="1"/>
    <x v="40"/>
  </r>
  <r>
    <x v="3193"/>
    <x v="3192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x v="54"/>
    <b v="0"/>
    <x v="40"/>
    <x v="2368"/>
    <n v="2793.5"/>
    <x v="1"/>
    <x v="40"/>
  </r>
  <r>
    <x v="3194"/>
    <x v="3193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x v="78"/>
    <b v="0"/>
    <x v="40"/>
    <x v="109"/>
    <n v="5500"/>
    <x v="1"/>
    <x v="40"/>
  </r>
  <r>
    <x v="3195"/>
    <x v="3194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x v="70"/>
    <b v="0"/>
    <x v="40"/>
    <x v="2369"/>
    <n v="2785"/>
    <x v="1"/>
    <x v="40"/>
  </r>
  <r>
    <x v="3196"/>
    <x v="3195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x v="79"/>
    <b v="0"/>
    <x v="40"/>
    <x v="1855"/>
    <n v="1500900"/>
    <x v="1"/>
    <x v="40"/>
  </r>
  <r>
    <x v="3197"/>
    <x v="3196"/>
    <s v="This years most important stage project for young artists in our region. www.ungespor.no"/>
    <n v="10000"/>
    <n v="1145"/>
    <x v="2"/>
    <x v="10"/>
    <x v="8"/>
    <n v="1423050618"/>
    <n v="1420458618"/>
    <b v="0"/>
    <x v="80"/>
    <b v="0"/>
    <x v="40"/>
    <x v="2370"/>
    <n v="5572.5"/>
    <x v="1"/>
    <x v="40"/>
  </r>
  <r>
    <x v="3198"/>
    <x v="3197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x v="83"/>
    <b v="0"/>
    <x v="40"/>
    <x v="456"/>
    <n v="15055"/>
    <x v="1"/>
    <x v="40"/>
  </r>
  <r>
    <x v="3199"/>
    <x v="3198"/>
    <s v="The Milburn Stone Theatre needs your help to bring its high-flying next blockbuster musical, TARZAN, to life!"/>
    <n v="5000"/>
    <n v="2608"/>
    <x v="2"/>
    <x v="0"/>
    <x v="0"/>
    <n v="1410037200"/>
    <n v="1407435418"/>
    <b v="0"/>
    <x v="28"/>
    <b v="0"/>
    <x v="40"/>
    <x v="2371"/>
    <n v="3804"/>
    <x v="1"/>
    <x v="40"/>
  </r>
  <r>
    <x v="3200"/>
    <x v="3199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x v="29"/>
    <b v="0"/>
    <x v="40"/>
    <x v="133"/>
    <n v="25000.5"/>
    <x v="1"/>
    <x v="4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x v="84"/>
    <b v="0"/>
    <x v="40"/>
    <x v="2372"/>
    <n v="1012.5"/>
    <x v="1"/>
    <x v="40"/>
  </r>
  <r>
    <x v="3202"/>
    <x v="3201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x v="20"/>
    <b v="0"/>
    <x v="40"/>
    <x v="2373"/>
    <n v="3863"/>
    <x v="1"/>
    <x v="40"/>
  </r>
  <r>
    <x v="3203"/>
    <x v="3202"/>
    <s v="Escape from Reality's 1st Season &quot;Defying Gravity&quot; including The Last Five Years, Godspell, and Aida."/>
    <n v="1000"/>
    <n v="250"/>
    <x v="2"/>
    <x v="0"/>
    <x v="0"/>
    <n v="1443224622"/>
    <n v="1440632622"/>
    <b v="0"/>
    <x v="79"/>
    <b v="0"/>
    <x v="40"/>
    <x v="180"/>
    <n v="625"/>
    <x v="1"/>
    <x v="40"/>
  </r>
  <r>
    <x v="3204"/>
    <x v="3203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x v="78"/>
    <b v="0"/>
    <x v="40"/>
    <x v="109"/>
    <n v="250"/>
    <x v="1"/>
    <x v="40"/>
  </r>
  <r>
    <x v="3205"/>
    <x v="3204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x v="8"/>
    <b v="0"/>
    <x v="40"/>
    <x v="2374"/>
    <n v="4136.5"/>
    <x v="1"/>
    <x v="40"/>
  </r>
  <r>
    <x v="3206"/>
    <x v="3205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x v="78"/>
    <b v="0"/>
    <x v="40"/>
    <x v="109"/>
    <n v="2500"/>
    <x v="1"/>
    <x v="40"/>
  </r>
  <r>
    <x v="3207"/>
    <x v="3206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x v="17"/>
    <b v="0"/>
    <x v="40"/>
    <x v="2375"/>
    <n v="4025"/>
    <x v="1"/>
    <x v="40"/>
  </r>
  <r>
    <x v="3208"/>
    <x v="3207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x v="141"/>
    <b v="1"/>
    <x v="6"/>
    <x v="991"/>
    <n v="5087.5"/>
    <x v="1"/>
    <x v="6"/>
  </r>
  <r>
    <x v="3209"/>
    <x v="3208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x v="334"/>
    <b v="1"/>
    <x v="6"/>
    <x v="2376"/>
    <n v="10417.85"/>
    <x v="1"/>
    <x v="6"/>
  </r>
  <r>
    <x v="3210"/>
    <x v="3209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x v="65"/>
    <b v="1"/>
    <x v="6"/>
    <x v="2377"/>
    <n v="3386.5"/>
    <x v="1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x v="498"/>
    <b v="1"/>
    <x v="6"/>
    <x v="2378"/>
    <n v="25270.5"/>
    <x v="1"/>
    <x v="6"/>
  </r>
  <r>
    <x v="3212"/>
    <x v="3211"/>
    <s v="Help us bring our production of Campo Maldito to New York AND San Francisco!"/>
    <n v="4000"/>
    <n v="5050"/>
    <x v="0"/>
    <x v="0"/>
    <x v="0"/>
    <n v="1407524751"/>
    <n v="1404932751"/>
    <b v="1"/>
    <x v="225"/>
    <b v="1"/>
    <x v="6"/>
    <x v="2379"/>
    <n v="4525"/>
    <x v="1"/>
    <x v="6"/>
  </r>
  <r>
    <x v="3213"/>
    <x v="3212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x v="5"/>
    <b v="1"/>
    <x v="6"/>
    <x v="2380"/>
    <n v="6003.5"/>
    <x v="1"/>
    <x v="6"/>
  </r>
  <r>
    <x v="3214"/>
    <x v="3213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x v="248"/>
    <b v="1"/>
    <x v="6"/>
    <x v="2381"/>
    <n v="12128"/>
    <x v="1"/>
    <x v="6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x v="179"/>
    <b v="1"/>
    <x v="6"/>
    <x v="2382"/>
    <n v="35061.5"/>
    <x v="1"/>
    <x v="6"/>
  </r>
  <r>
    <x v="3216"/>
    <x v="3215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x v="2"/>
    <b v="1"/>
    <x v="6"/>
    <x v="2383"/>
    <n v="2000.5"/>
    <x v="1"/>
    <x v="6"/>
  </r>
  <r>
    <x v="3217"/>
    <x v="3216"/>
    <s v="Wake Up Call is a comedic play about a group of hotel employees working on Christmas Eve."/>
    <n v="4500"/>
    <n v="5221"/>
    <x v="0"/>
    <x v="0"/>
    <x v="0"/>
    <n v="1478264784"/>
    <n v="1475672784"/>
    <b v="1"/>
    <x v="201"/>
    <b v="1"/>
    <x v="6"/>
    <x v="2251"/>
    <n v="4860.5"/>
    <x v="1"/>
    <x v="6"/>
  </r>
  <r>
    <x v="3218"/>
    <x v="3217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x v="192"/>
    <b v="1"/>
    <x v="6"/>
    <x v="426"/>
    <n v="12126"/>
    <x v="1"/>
    <x v="6"/>
  </r>
  <r>
    <x v="3219"/>
    <x v="3218"/>
    <s v="Eyes Closed is a collaborative play and docudrama about New Yorkers and their dreams."/>
    <n v="20000"/>
    <n v="20022"/>
    <x v="0"/>
    <x v="0"/>
    <x v="0"/>
    <n v="1427063747"/>
    <n v="1424043347"/>
    <b v="1"/>
    <x v="46"/>
    <b v="1"/>
    <x v="6"/>
    <x v="2384"/>
    <n v="20011"/>
    <x v="1"/>
    <x v="6"/>
  </r>
  <r>
    <x v="3220"/>
    <x v="3219"/>
    <s v="A sci-fi thriller for the stage opening March 10 in Los Angeles."/>
    <n v="15000"/>
    <n v="15126"/>
    <x v="0"/>
    <x v="0"/>
    <x v="0"/>
    <n v="1489352400"/>
    <n v="1486411204"/>
    <b v="1"/>
    <x v="211"/>
    <b v="1"/>
    <x v="6"/>
    <x v="2385"/>
    <n v="15063"/>
    <x v="1"/>
    <x v="6"/>
  </r>
  <r>
    <x v="3221"/>
    <x v="3220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x v="116"/>
    <b v="1"/>
    <x v="6"/>
    <x v="2386"/>
    <n v="4068.5"/>
    <x v="1"/>
    <x v="6"/>
  </r>
  <r>
    <x v="3222"/>
    <x v="3221"/>
    <s v="Shakespeare's classic re-imagined as a spoken and signed production for deaf and hearing audiences"/>
    <n v="2500"/>
    <n v="3120"/>
    <x v="0"/>
    <x v="0"/>
    <x v="0"/>
    <n v="1445722140"/>
    <n v="1443016697"/>
    <b v="1"/>
    <x v="87"/>
    <b v="1"/>
    <x v="6"/>
    <x v="2387"/>
    <n v="2810"/>
    <x v="1"/>
    <x v="6"/>
  </r>
  <r>
    <x v="3223"/>
    <x v="3222"/>
    <s v="Bringing David Lindsay-Abaire's award-winning story of our times to the East Bay."/>
    <n v="3100"/>
    <n v="3395"/>
    <x v="0"/>
    <x v="0"/>
    <x v="0"/>
    <n v="1440100976"/>
    <n v="1437508976"/>
    <b v="1"/>
    <x v="142"/>
    <b v="1"/>
    <x v="6"/>
    <x v="2388"/>
    <n v="3247.5"/>
    <x v="1"/>
    <x v="6"/>
  </r>
  <r>
    <x v="3224"/>
    <x v="3223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x v="499"/>
    <b v="1"/>
    <x v="6"/>
    <x v="2389"/>
    <n v="30305"/>
    <x v="1"/>
    <x v="6"/>
  </r>
  <r>
    <x v="3225"/>
    <x v="3224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x v="70"/>
    <b v="1"/>
    <x v="6"/>
    <x v="1099"/>
    <n v="2023.5"/>
    <x v="1"/>
    <x v="6"/>
  </r>
  <r>
    <x v="3226"/>
    <x v="3225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x v="64"/>
    <b v="1"/>
    <x v="6"/>
    <x v="44"/>
    <n v="1225"/>
    <x v="1"/>
    <x v="6"/>
  </r>
  <r>
    <x v="3227"/>
    <x v="3226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x v="209"/>
    <b v="1"/>
    <x v="6"/>
    <x v="1054"/>
    <n v="1350"/>
    <x v="1"/>
    <x v="6"/>
  </r>
  <r>
    <x v="3228"/>
    <x v="3227"/>
    <s v="A Season of Powerful Women. A Season of Defiance."/>
    <n v="7000"/>
    <n v="7164"/>
    <x v="0"/>
    <x v="0"/>
    <x v="0"/>
    <n v="1450328340"/>
    <n v="1447606884"/>
    <b v="1"/>
    <x v="77"/>
    <b v="1"/>
    <x v="6"/>
    <x v="2390"/>
    <n v="7082"/>
    <x v="1"/>
    <x v="6"/>
  </r>
  <r>
    <x v="3229"/>
    <x v="3228"/>
    <s v="After electrifying audiences in Seattle and Tashkent, The Seagull Project embarks on a brand new journey."/>
    <n v="20000"/>
    <n v="21573"/>
    <x v="0"/>
    <x v="0"/>
    <x v="0"/>
    <n v="1416470398"/>
    <n v="1413874798"/>
    <b v="1"/>
    <x v="91"/>
    <b v="1"/>
    <x v="6"/>
    <x v="2391"/>
    <n v="20786.5"/>
    <x v="1"/>
    <x v="6"/>
  </r>
  <r>
    <x v="3230"/>
    <x v="3229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x v="77"/>
    <b v="1"/>
    <x v="6"/>
    <x v="2392"/>
    <n v="2728.5"/>
    <x v="1"/>
    <x v="6"/>
  </r>
  <r>
    <x v="3231"/>
    <x v="3230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x v="33"/>
    <b v="1"/>
    <x v="6"/>
    <x v="2393"/>
    <n v="1305"/>
    <x v="1"/>
    <x v="6"/>
  </r>
  <r>
    <x v="3232"/>
    <x v="3231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x v="55"/>
    <b v="1"/>
    <x v="6"/>
    <x v="2394"/>
    <n v="1156"/>
    <x v="1"/>
    <x v="6"/>
  </r>
  <r>
    <x v="3233"/>
    <x v="3232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x v="42"/>
    <b v="1"/>
    <x v="6"/>
    <x v="2395"/>
    <n v="5470"/>
    <x v="1"/>
    <x v="6"/>
  </r>
  <r>
    <x v="3234"/>
    <x v="3233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x v="248"/>
    <b v="1"/>
    <x v="6"/>
    <x v="2396"/>
    <n v="4007.855"/>
    <x v="1"/>
    <x v="6"/>
  </r>
  <r>
    <x v="3235"/>
    <x v="3234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x v="331"/>
    <b v="1"/>
    <x v="6"/>
    <x v="2397"/>
    <n v="15240.5"/>
    <x v="1"/>
    <x v="6"/>
  </r>
  <r>
    <x v="3236"/>
    <x v="3235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x v="238"/>
    <b v="1"/>
    <x v="6"/>
    <x v="1794"/>
    <n v="20060"/>
    <x v="1"/>
    <x v="6"/>
  </r>
  <r>
    <x v="3237"/>
    <x v="3236"/>
    <s v="An annual campaign supporting our intensive for artists 25 and under."/>
    <n v="35000"/>
    <n v="35275.64"/>
    <x v="0"/>
    <x v="0"/>
    <x v="0"/>
    <n v="1443499140"/>
    <n v="1441452184"/>
    <b v="1"/>
    <x v="314"/>
    <b v="1"/>
    <x v="6"/>
    <x v="2398"/>
    <n v="35137.82"/>
    <x v="1"/>
    <x v="6"/>
  </r>
  <r>
    <x v="3238"/>
    <x v="3237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x v="1"/>
    <b v="1"/>
    <x v="6"/>
    <x v="2399"/>
    <n v="2972.5"/>
    <x v="1"/>
    <x v="6"/>
  </r>
  <r>
    <x v="3239"/>
    <x v="3238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x v="201"/>
    <b v="1"/>
    <x v="6"/>
    <x v="2400"/>
    <n v="6035.49"/>
    <x v="1"/>
    <x v="6"/>
  </r>
  <r>
    <x v="3240"/>
    <x v="3239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x v="69"/>
    <b v="1"/>
    <x v="6"/>
    <x v="518"/>
    <n v="3008.5"/>
    <x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x v="157"/>
    <b v="1"/>
    <x v="6"/>
    <x v="2401"/>
    <n v="9150.5"/>
    <x v="1"/>
    <x v="6"/>
  </r>
  <r>
    <x v="3242"/>
    <x v="3241"/>
    <s v="First Day Off in a Long Time is a comedy show...            _x000a_About suicide."/>
    <n v="10000"/>
    <n v="12730.42"/>
    <x v="0"/>
    <x v="0"/>
    <x v="0"/>
    <n v="1411150092"/>
    <n v="1408558092"/>
    <b v="1"/>
    <x v="275"/>
    <b v="1"/>
    <x v="6"/>
    <x v="2402"/>
    <n v="11365.21"/>
    <x v="1"/>
    <x v="6"/>
  </r>
  <r>
    <x v="3243"/>
    <x v="3242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x v="26"/>
    <b v="1"/>
    <x v="6"/>
    <x v="2403"/>
    <n v="8113.5"/>
    <x v="1"/>
    <x v="6"/>
  </r>
  <r>
    <x v="3244"/>
    <x v="3243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x v="50"/>
    <b v="1"/>
    <x v="6"/>
    <x v="2404"/>
    <n v="1623.5"/>
    <x v="1"/>
    <x v="6"/>
  </r>
  <r>
    <x v="3245"/>
    <x v="3244"/>
    <s v="Five playwrights volunteer at New York's largest soup kitchen and develop a play around the people they meet."/>
    <n v="21000"/>
    <n v="21904"/>
    <x v="0"/>
    <x v="0"/>
    <x v="0"/>
    <n v="1434074400"/>
    <n v="1431354258"/>
    <b v="0"/>
    <x v="500"/>
    <b v="1"/>
    <x v="6"/>
    <x v="2405"/>
    <n v="21452"/>
    <x v="1"/>
    <x v="6"/>
  </r>
  <r>
    <x v="3246"/>
    <x v="3245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x v="189"/>
    <b v="1"/>
    <x v="6"/>
    <x v="2406"/>
    <n v="10561"/>
    <x v="1"/>
    <x v="6"/>
  </r>
  <r>
    <x v="3247"/>
    <x v="3246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x v="7"/>
    <b v="1"/>
    <x v="6"/>
    <x v="2407"/>
    <n v="2573.25"/>
    <x v="1"/>
    <x v="6"/>
  </r>
  <r>
    <x v="3248"/>
    <x v="3247"/>
    <s v="Honest Accomplice Theatre produces theatre for social change."/>
    <n v="12000"/>
    <n v="12095"/>
    <x v="0"/>
    <x v="0"/>
    <x v="0"/>
    <n v="1428178757"/>
    <n v="1425590357"/>
    <b v="1"/>
    <x v="452"/>
    <b v="1"/>
    <x v="6"/>
    <x v="2408"/>
    <n v="12047.5"/>
    <x v="1"/>
    <x v="6"/>
  </r>
  <r>
    <x v="3249"/>
    <x v="3248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x v="106"/>
    <b v="1"/>
    <x v="6"/>
    <x v="2409"/>
    <n v="5635.5"/>
    <x v="1"/>
    <x v="6"/>
  </r>
  <r>
    <x v="3250"/>
    <x v="3249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x v="496"/>
    <b v="1"/>
    <x v="6"/>
    <x v="2410"/>
    <n v="25194"/>
    <x v="1"/>
    <x v="6"/>
  </r>
  <r>
    <x v="3251"/>
    <x v="3250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x v="9"/>
    <b v="1"/>
    <x v="6"/>
    <x v="1613"/>
    <n v="1580.5"/>
    <x v="1"/>
    <x v="6"/>
  </r>
  <r>
    <x v="3252"/>
    <x v="3251"/>
    <s v="How do we navigate the boundaries between friendship, sexual intimacy and obsessive desire?"/>
    <n v="2250"/>
    <n v="2876"/>
    <x v="0"/>
    <x v="1"/>
    <x v="1"/>
    <n v="1473247240"/>
    <n v="1470655240"/>
    <b v="1"/>
    <x v="133"/>
    <b v="1"/>
    <x v="6"/>
    <x v="2411"/>
    <n v="2563"/>
    <x v="1"/>
    <x v="6"/>
  </r>
  <r>
    <x v="3253"/>
    <x v="3252"/>
    <s v="Can you ever truly feel what someone else is feeling?_x000a_Do you want to?"/>
    <n v="20000"/>
    <n v="20365"/>
    <x v="0"/>
    <x v="0"/>
    <x v="0"/>
    <n v="1473306300"/>
    <n v="1471701028"/>
    <b v="1"/>
    <x v="248"/>
    <b v="1"/>
    <x v="6"/>
    <x v="2412"/>
    <n v="20182.5"/>
    <x v="1"/>
    <x v="6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x v="153"/>
    <b v="1"/>
    <x v="6"/>
    <x v="2413"/>
    <n v="13081.75"/>
    <x v="1"/>
    <x v="6"/>
  </r>
  <r>
    <x v="3255"/>
    <x v="3254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x v="59"/>
    <b v="1"/>
    <x v="6"/>
    <x v="1290"/>
    <n v="412.5"/>
    <x v="1"/>
    <x v="6"/>
  </r>
  <r>
    <x v="3256"/>
    <x v="3255"/>
    <s v="Our 16th year promises to be bigger and better than ever but we need your help to bring the show to life!"/>
    <n v="10000"/>
    <n v="12806"/>
    <x v="0"/>
    <x v="0"/>
    <x v="0"/>
    <n v="1433995140"/>
    <n v="1432129577"/>
    <b v="1"/>
    <x v="282"/>
    <b v="1"/>
    <x v="6"/>
    <x v="2414"/>
    <n v="11403"/>
    <x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x v="14"/>
    <b v="1"/>
    <x v="6"/>
    <x v="2415"/>
    <n v="2062.9949999999999"/>
    <x v="1"/>
    <x v="6"/>
  </r>
  <r>
    <x v="3258"/>
    <x v="3257"/>
    <s v="A guy named Walt steals a book and plans to sell it to get his life on track... until his wife finds out."/>
    <n v="7000"/>
    <n v="7365"/>
    <x v="0"/>
    <x v="0"/>
    <x v="0"/>
    <n v="1420751861"/>
    <n v="1418159861"/>
    <b v="1"/>
    <x v="11"/>
    <b v="1"/>
    <x v="6"/>
    <x v="2416"/>
    <n v="7182.5"/>
    <x v="1"/>
    <x v="6"/>
  </r>
  <r>
    <x v="3259"/>
    <x v="3258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x v="174"/>
    <b v="1"/>
    <x v="6"/>
    <x v="2417"/>
    <n v="23709.3"/>
    <x v="1"/>
    <x v="6"/>
  </r>
  <r>
    <x v="3260"/>
    <x v="3259"/>
    <s v="We're looking to raise money to continue bringing Brooklyn the vanishing art form of marionette puppetry."/>
    <n v="5000"/>
    <n v="5462"/>
    <x v="0"/>
    <x v="0"/>
    <x v="0"/>
    <n v="1448903318"/>
    <n v="1445875718"/>
    <b v="1"/>
    <x v="196"/>
    <b v="1"/>
    <x v="6"/>
    <x v="2418"/>
    <n v="5231"/>
    <x v="1"/>
    <x v="6"/>
  </r>
  <r>
    <x v="3261"/>
    <x v="3260"/>
    <s v="Six Spartanburg-based professional actors perform A Midsummer Night's Dream outdoors in downtown Spartanburg."/>
    <n v="3300"/>
    <n v="3315"/>
    <x v="0"/>
    <x v="0"/>
    <x v="0"/>
    <n v="1437067476"/>
    <n v="1434475476"/>
    <b v="1"/>
    <x v="72"/>
    <b v="1"/>
    <x v="6"/>
    <x v="2419"/>
    <n v="3307.5"/>
    <x v="1"/>
    <x v="6"/>
  </r>
  <r>
    <x v="3262"/>
    <x v="3261"/>
    <s v="A one-woman theatrical exploration of the prison system and its inhabitants."/>
    <n v="12200"/>
    <n v="12571"/>
    <x v="0"/>
    <x v="0"/>
    <x v="0"/>
    <n v="1419220800"/>
    <n v="1416555262"/>
    <b v="1"/>
    <x v="179"/>
    <b v="1"/>
    <x v="6"/>
    <x v="2420"/>
    <n v="12385.5"/>
    <x v="1"/>
    <x v="6"/>
  </r>
  <r>
    <x v="3263"/>
    <x v="3262"/>
    <s v="Shakespeare's bloodiest tragedy, performed and produced exclusively by women."/>
    <n v="2500"/>
    <n v="2804.16"/>
    <x v="0"/>
    <x v="0"/>
    <x v="0"/>
    <n v="1446238800"/>
    <n v="1444220588"/>
    <b v="1"/>
    <x v="32"/>
    <b v="1"/>
    <x v="6"/>
    <x v="2421"/>
    <n v="2652.08"/>
    <x v="1"/>
    <x v="6"/>
  </r>
  <r>
    <x v="3264"/>
    <x v="3263"/>
    <s v="The three part comedic saga of Kapow-i GoGo, who saves the world.  Again.  And again."/>
    <n v="2500"/>
    <n v="2575"/>
    <x v="0"/>
    <x v="0"/>
    <x v="0"/>
    <n v="1422482400"/>
    <n v="1421089938"/>
    <b v="1"/>
    <x v="72"/>
    <b v="1"/>
    <x v="6"/>
    <x v="288"/>
    <n v="2537.5"/>
    <x v="1"/>
    <x v="6"/>
  </r>
  <r>
    <x v="3265"/>
    <x v="3264"/>
    <s v="A theatrical play on Alzheimerâ€™s and the challenges of loving a person who keeps disappearing."/>
    <n v="2700"/>
    <n v="4428"/>
    <x v="0"/>
    <x v="17"/>
    <x v="3"/>
    <n v="1449162000"/>
    <n v="1446570315"/>
    <b v="1"/>
    <x v="287"/>
    <b v="1"/>
    <x v="6"/>
    <x v="2002"/>
    <n v="3564"/>
    <x v="1"/>
    <x v="6"/>
  </r>
  <r>
    <x v="3266"/>
    <x v="3265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x v="430"/>
    <b v="1"/>
    <x v="6"/>
    <x v="2422"/>
    <n v="6938.5"/>
    <x v="1"/>
    <x v="6"/>
  </r>
  <r>
    <x v="3267"/>
    <x v="3266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x v="449"/>
    <b v="1"/>
    <x v="6"/>
    <x v="426"/>
    <n v="15157.5"/>
    <x v="1"/>
    <x v="6"/>
  </r>
  <r>
    <x v="3268"/>
    <x v="3267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x v="288"/>
    <b v="1"/>
    <x v="6"/>
    <x v="602"/>
    <n v="2280"/>
    <x v="1"/>
    <x v="6"/>
  </r>
  <r>
    <x v="3269"/>
    <x v="3268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x v="16"/>
    <b v="1"/>
    <x v="6"/>
    <x v="1240"/>
    <n v="8060"/>
    <x v="1"/>
    <x v="6"/>
  </r>
  <r>
    <x v="3270"/>
    <x v="3269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x v="209"/>
    <b v="1"/>
    <x v="6"/>
    <x v="658"/>
    <n v="1815"/>
    <x v="1"/>
    <x v="6"/>
  </r>
  <r>
    <x v="3271"/>
    <x v="3270"/>
    <s v="A razor sharp satire to darken your Christmas."/>
    <n v="1500"/>
    <n v="1950"/>
    <x v="0"/>
    <x v="1"/>
    <x v="1"/>
    <n v="1414927775"/>
    <n v="1412332175"/>
    <b v="1"/>
    <x v="13"/>
    <b v="1"/>
    <x v="6"/>
    <x v="2129"/>
    <n v="1725"/>
    <x v="1"/>
    <x v="6"/>
  </r>
  <r>
    <x v="3272"/>
    <x v="3271"/>
    <s v="A new original play that follows two Israeli singles navigate the humorous and confusing dating scene of NYC."/>
    <n v="10000"/>
    <n v="15443"/>
    <x v="0"/>
    <x v="0"/>
    <x v="0"/>
    <n v="1446814809"/>
    <n v="1444219209"/>
    <b v="1"/>
    <x v="108"/>
    <b v="1"/>
    <x v="6"/>
    <x v="2423"/>
    <n v="12721.5"/>
    <x v="1"/>
    <x v="6"/>
  </r>
  <r>
    <x v="3273"/>
    <x v="3272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x v="64"/>
    <b v="1"/>
    <x v="6"/>
    <x v="202"/>
    <n v="4148"/>
    <x v="1"/>
    <x v="6"/>
  </r>
  <r>
    <x v="3274"/>
    <x v="3273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x v="172"/>
    <b v="1"/>
    <x v="6"/>
    <x v="2424"/>
    <n v="15602.5"/>
    <x v="1"/>
    <x v="6"/>
  </r>
  <r>
    <x v="3275"/>
    <x v="3274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x v="8"/>
    <b v="1"/>
    <x v="6"/>
    <x v="2425"/>
    <n v="1802.5"/>
    <x v="1"/>
    <x v="6"/>
  </r>
  <r>
    <x v="3276"/>
    <x v="3275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x v="61"/>
    <b v="1"/>
    <x v="6"/>
    <x v="2426"/>
    <n v="4879"/>
    <x v="1"/>
    <x v="6"/>
  </r>
  <r>
    <x v="3277"/>
    <x v="3276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x v="61"/>
    <b v="1"/>
    <x v="6"/>
    <x v="1878"/>
    <n v="5215"/>
    <x v="1"/>
    <x v="6"/>
  </r>
  <r>
    <x v="3278"/>
    <x v="3277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x v="69"/>
    <b v="1"/>
    <x v="6"/>
    <x v="1936"/>
    <n v="2542.5"/>
    <x v="1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x v="287"/>
    <b v="1"/>
    <x v="6"/>
    <x v="2427"/>
    <n v="6214"/>
    <x v="1"/>
    <x v="6"/>
  </r>
  <r>
    <x v="3280"/>
    <x v="3279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x v="209"/>
    <b v="1"/>
    <x v="6"/>
    <x v="288"/>
    <n v="2030"/>
    <x v="1"/>
    <x v="6"/>
  </r>
  <r>
    <x v="3281"/>
    <x v="3280"/>
    <s v="&quot;This is how theater should connect to people&quot;  Margo Jefferson, Pulitzer Prize winning critic"/>
    <n v="5000"/>
    <n v="6080"/>
    <x v="0"/>
    <x v="0"/>
    <x v="0"/>
    <n v="1441153705"/>
    <n v="1438561705"/>
    <b v="0"/>
    <x v="5"/>
    <b v="1"/>
    <x v="6"/>
    <x v="2428"/>
    <n v="5540"/>
    <x v="1"/>
    <x v="6"/>
  </r>
  <r>
    <x v="3282"/>
    <x v="3281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x v="186"/>
    <b v="1"/>
    <x v="6"/>
    <x v="2429"/>
    <n v="31410.25"/>
    <x v="1"/>
    <x v="6"/>
  </r>
  <r>
    <x v="3283"/>
    <x v="3282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x v="5"/>
    <b v="1"/>
    <x v="6"/>
    <x v="2430"/>
    <n v="819"/>
    <x v="1"/>
    <x v="6"/>
  </r>
  <r>
    <x v="3284"/>
    <x v="3283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x v="41"/>
    <b v="1"/>
    <x v="6"/>
    <x v="264"/>
    <n v="3024"/>
    <x v="1"/>
    <x v="6"/>
  </r>
  <r>
    <x v="3285"/>
    <x v="3284"/>
    <s v="A new play by Matthew Gasda"/>
    <n v="4999"/>
    <n v="5604"/>
    <x v="0"/>
    <x v="0"/>
    <x v="0"/>
    <n v="1488258000"/>
    <n v="1485556626"/>
    <b v="0"/>
    <x v="75"/>
    <b v="1"/>
    <x v="6"/>
    <x v="2431"/>
    <n v="5301.5"/>
    <x v="1"/>
    <x v="6"/>
  </r>
  <r>
    <x v="3286"/>
    <x v="3285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x v="259"/>
    <b v="1"/>
    <x v="6"/>
    <x v="2432"/>
    <n v="15132.5"/>
    <x v="1"/>
    <x v="6"/>
  </r>
  <r>
    <x v="3287"/>
    <x v="3286"/>
    <s v="An inspirational one-man play about crisis, community, and the search for wholeness."/>
    <n v="2500"/>
    <n v="2500"/>
    <x v="0"/>
    <x v="5"/>
    <x v="5"/>
    <n v="1448733628"/>
    <n v="1446573628"/>
    <b v="0"/>
    <x v="69"/>
    <b v="1"/>
    <x v="6"/>
    <x v="31"/>
    <n v="2500"/>
    <x v="1"/>
    <x v="6"/>
  </r>
  <r>
    <x v="3288"/>
    <x v="3287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x v="447"/>
    <b v="1"/>
    <x v="6"/>
    <x v="2433"/>
    <n v="10013.244999999999"/>
    <x v="1"/>
    <x v="6"/>
  </r>
  <r>
    <x v="3289"/>
    <x v="3288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x v="20"/>
    <b v="1"/>
    <x v="6"/>
    <x v="2434"/>
    <n v="582.60500000000002"/>
    <x v="1"/>
    <x v="6"/>
  </r>
  <r>
    <x v="3290"/>
    <x v="3289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x v="250"/>
    <b v="1"/>
    <x v="6"/>
    <x v="1247"/>
    <n v="2212"/>
    <x v="1"/>
    <x v="6"/>
  </r>
  <r>
    <x v="3291"/>
    <x v="3290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x v="25"/>
    <b v="1"/>
    <x v="6"/>
    <x v="430"/>
    <n v="535"/>
    <x v="1"/>
    <x v="6"/>
  </r>
  <r>
    <x v="3292"/>
    <x v="3291"/>
    <s v="Iver Heath Drama Club is a not-for-profit community group and this year we are performing DICK WHITTINGTON."/>
    <n v="101"/>
    <n v="289"/>
    <x v="0"/>
    <x v="1"/>
    <x v="1"/>
    <n v="1449257348"/>
    <n v="1444069748"/>
    <b v="0"/>
    <x v="41"/>
    <b v="1"/>
    <x v="6"/>
    <x v="2435"/>
    <n v="195"/>
    <x v="1"/>
    <x v="6"/>
  </r>
  <r>
    <x v="3293"/>
    <x v="3292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x v="110"/>
    <b v="1"/>
    <x v="6"/>
    <x v="2436"/>
    <n v="6085"/>
    <x v="1"/>
    <x v="6"/>
  </r>
  <r>
    <x v="3294"/>
    <x v="3293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x v="54"/>
    <b v="1"/>
    <x v="6"/>
    <x v="1237"/>
    <n v="655"/>
    <x v="1"/>
    <x v="6"/>
  </r>
  <r>
    <x v="3295"/>
    <x v="3294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x v="74"/>
    <b v="1"/>
    <x v="6"/>
    <x v="2437"/>
    <n v="710.005"/>
    <x v="1"/>
    <x v="6"/>
  </r>
  <r>
    <x v="3296"/>
    <x v="3295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x v="5"/>
    <b v="1"/>
    <x v="6"/>
    <x v="2438"/>
    <n v="1830.5"/>
    <x v="1"/>
    <x v="6"/>
  </r>
  <r>
    <x v="3297"/>
    <x v="3296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x v="34"/>
    <b v="1"/>
    <x v="6"/>
    <x v="2439"/>
    <n v="5502"/>
    <x v="1"/>
    <x v="6"/>
  </r>
  <r>
    <x v="3298"/>
    <x v="3297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x v="250"/>
    <b v="1"/>
    <x v="6"/>
    <x v="2440"/>
    <n v="10086.5"/>
    <x v="1"/>
    <x v="6"/>
  </r>
  <r>
    <x v="3299"/>
    <x v="3298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x v="287"/>
    <b v="1"/>
    <x v="6"/>
    <x v="2441"/>
    <n v="3243"/>
    <x v="1"/>
    <x v="6"/>
  </r>
  <r>
    <x v="3300"/>
    <x v="3299"/>
    <s v="A subversive parody about the two people for whom the hills were NOT alive with THE SOUND OF MUSIC."/>
    <n v="3000"/>
    <n v="4085"/>
    <x v="0"/>
    <x v="0"/>
    <x v="0"/>
    <n v="1430329862"/>
    <n v="1428515462"/>
    <b v="0"/>
    <x v="106"/>
    <b v="1"/>
    <x v="6"/>
    <x v="2442"/>
    <n v="3542.5"/>
    <x v="1"/>
    <x v="6"/>
  </r>
  <r>
    <x v="3301"/>
    <x v="3300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x v="16"/>
    <b v="1"/>
    <x v="6"/>
    <x v="1424"/>
    <n v="3502"/>
    <x v="1"/>
    <x v="6"/>
  </r>
  <r>
    <x v="3302"/>
    <x v="3301"/>
    <s v="FilosofÃ­a de los anÃ³nimos"/>
    <n v="8400"/>
    <n v="8685"/>
    <x v="0"/>
    <x v="3"/>
    <x v="3"/>
    <n v="1481099176"/>
    <n v="1478507176"/>
    <b v="0"/>
    <x v="133"/>
    <b v="1"/>
    <x v="6"/>
    <x v="2443"/>
    <n v="8542.5"/>
    <x v="1"/>
    <x v="6"/>
  </r>
  <r>
    <x v="3303"/>
    <x v="3302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x v="2"/>
    <b v="1"/>
    <x v="6"/>
    <x v="2444"/>
    <n v="1943"/>
    <x v="1"/>
    <x v="6"/>
  </r>
  <r>
    <x v="3304"/>
    <x v="330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x v="489"/>
    <b v="1"/>
    <x v="6"/>
    <x v="2445"/>
    <n v="15338.75"/>
    <x v="1"/>
    <x v="6"/>
  </r>
  <r>
    <x v="3305"/>
    <x v="3304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x v="9"/>
    <b v="1"/>
    <x v="6"/>
    <x v="2446"/>
    <n v="4040.5"/>
    <x v="1"/>
    <x v="6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x v="241"/>
    <b v="1"/>
    <x v="6"/>
    <x v="2447"/>
    <n v="2065"/>
    <x v="1"/>
    <x v="6"/>
  </r>
  <r>
    <x v="3307"/>
    <x v="3306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x v="9"/>
    <b v="1"/>
    <x v="6"/>
    <x v="2448"/>
    <n v="1033.4000000000001"/>
    <x v="1"/>
    <x v="6"/>
  </r>
  <r>
    <x v="3308"/>
    <x v="3307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x v="7"/>
    <b v="1"/>
    <x v="6"/>
    <x v="2449"/>
    <n v="3890"/>
    <x v="1"/>
    <x v="6"/>
  </r>
  <r>
    <x v="3309"/>
    <x v="3308"/>
    <s v="Two unlikely friends, a garage, tinned beans &amp; the end of the world."/>
    <n v="350"/>
    <n v="558"/>
    <x v="0"/>
    <x v="1"/>
    <x v="1"/>
    <n v="1476632178"/>
    <n v="1473953778"/>
    <b v="0"/>
    <x v="162"/>
    <b v="1"/>
    <x v="6"/>
    <x v="2450"/>
    <n v="454"/>
    <x v="1"/>
    <x v="6"/>
  </r>
  <r>
    <x v="3310"/>
    <x v="3309"/>
    <s v="A new play about coming coming home, recovery, and trying to find God in the process."/>
    <n v="6500"/>
    <n v="6505"/>
    <x v="0"/>
    <x v="0"/>
    <x v="0"/>
    <n v="1444169825"/>
    <n v="1441577825"/>
    <b v="0"/>
    <x v="162"/>
    <b v="1"/>
    <x v="6"/>
    <x v="1417"/>
    <n v="6502.5"/>
    <x v="1"/>
    <x v="6"/>
  </r>
  <r>
    <x v="3311"/>
    <x v="3310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x v="43"/>
    <b v="1"/>
    <x v="6"/>
    <x v="2451"/>
    <n v="2623"/>
    <x v="1"/>
    <x v="6"/>
  </r>
  <r>
    <x v="3312"/>
    <x v="3311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x v="14"/>
    <b v="1"/>
    <x v="6"/>
    <x v="2452"/>
    <n v="2500.5"/>
    <x v="1"/>
    <x v="6"/>
  </r>
  <r>
    <x v="3313"/>
    <x v="3312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x v="60"/>
    <b v="1"/>
    <x v="6"/>
    <x v="2453"/>
    <n v="2160.5"/>
    <x v="1"/>
    <x v="6"/>
  </r>
  <r>
    <x v="3314"/>
    <x v="3313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x v="6"/>
    <b v="1"/>
    <x v="6"/>
    <x v="2454"/>
    <n v="1243"/>
    <x v="1"/>
    <x v="6"/>
  </r>
  <r>
    <x v="3315"/>
    <x v="3314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x v="30"/>
    <b v="1"/>
    <x v="6"/>
    <x v="1007"/>
    <n v="4200"/>
    <x v="1"/>
    <x v="6"/>
  </r>
  <r>
    <x v="3316"/>
    <x v="3315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x v="207"/>
    <b v="1"/>
    <x v="6"/>
    <x v="2455"/>
    <n v="11742.09"/>
    <x v="1"/>
    <x v="6"/>
  </r>
  <r>
    <x v="3317"/>
    <x v="3316"/>
    <s v="Andy Boyd's epic new satire about heroes and villains, humankind's search for glory, and fascism in America"/>
    <n v="1050"/>
    <n v="1115"/>
    <x v="0"/>
    <x v="0"/>
    <x v="0"/>
    <n v="1465347424"/>
    <n v="1462755424"/>
    <b v="0"/>
    <x v="59"/>
    <b v="1"/>
    <x v="6"/>
    <x v="2456"/>
    <n v="1082.5"/>
    <x v="1"/>
    <x v="6"/>
  </r>
  <r>
    <x v="3318"/>
    <x v="3317"/>
    <s v="Help us strengthen and inspire disability arts in Atlantic Canada"/>
    <n v="2000"/>
    <n v="2512"/>
    <x v="0"/>
    <x v="5"/>
    <x v="5"/>
    <n v="1460341800"/>
    <n v="1456902893"/>
    <b v="0"/>
    <x v="58"/>
    <b v="1"/>
    <x v="6"/>
    <x v="2457"/>
    <n v="2256"/>
    <x v="1"/>
    <x v="6"/>
  </r>
  <r>
    <x v="3319"/>
    <x v="3318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x v="38"/>
    <b v="1"/>
    <x v="6"/>
    <x v="1277"/>
    <n v="520"/>
    <x v="1"/>
    <x v="6"/>
  </r>
  <r>
    <x v="3320"/>
    <x v="3319"/>
    <s v="Imaginary Theater Company presents two modern day tall tales about family, resilience and redemption."/>
    <n v="2500"/>
    <n v="2525"/>
    <x v="0"/>
    <x v="0"/>
    <x v="0"/>
    <n v="1466557557"/>
    <n v="1463965557"/>
    <b v="0"/>
    <x v="44"/>
    <b v="1"/>
    <x v="6"/>
    <x v="50"/>
    <n v="2512.5"/>
    <x v="1"/>
    <x v="6"/>
  </r>
  <r>
    <x v="3321"/>
    <x v="3320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x v="41"/>
    <b v="1"/>
    <x v="6"/>
    <x v="202"/>
    <n v="518.5"/>
    <x v="1"/>
    <x v="6"/>
  </r>
  <r>
    <x v="3322"/>
    <x v="3321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x v="23"/>
    <b v="1"/>
    <x v="6"/>
    <x v="2458"/>
    <n v="3325"/>
    <x v="1"/>
    <x v="6"/>
  </r>
  <r>
    <x v="3323"/>
    <x v="3322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x v="72"/>
    <b v="1"/>
    <x v="6"/>
    <x v="2459"/>
    <n v="1129.5"/>
    <x v="1"/>
    <x v="6"/>
  </r>
  <r>
    <x v="3324"/>
    <x v="3323"/>
    <s v="The play tells the story of Jim and Doyler and their friendship on the brink of Irish independence."/>
    <n v="1500"/>
    <n v="1525"/>
    <x v="0"/>
    <x v="17"/>
    <x v="3"/>
    <n v="1465135190"/>
    <n v="1463925590"/>
    <b v="0"/>
    <x v="73"/>
    <b v="1"/>
    <x v="6"/>
    <x v="658"/>
    <n v="1512.5"/>
    <x v="1"/>
    <x v="6"/>
  </r>
  <r>
    <x v="3325"/>
    <x v="3324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x v="41"/>
    <b v="1"/>
    <x v="6"/>
    <x v="2460"/>
    <n v="425"/>
    <x v="1"/>
    <x v="6"/>
  </r>
  <r>
    <x v="3326"/>
    <x v="3325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x v="7"/>
    <b v="1"/>
    <x v="6"/>
    <x v="300"/>
    <n v="8055"/>
    <x v="1"/>
    <x v="6"/>
  </r>
  <r>
    <x v="3327"/>
    <x v="3326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x v="51"/>
    <b v="1"/>
    <x v="6"/>
    <x v="982"/>
    <n v="805"/>
    <x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x v="82"/>
    <b v="1"/>
    <x v="6"/>
    <x v="2461"/>
    <n v="2217.5"/>
    <x v="1"/>
    <x v="6"/>
  </r>
  <r>
    <x v="3329"/>
    <x v="3328"/>
    <s v="Jestia and Raedon is a brand new romantic comedy play going to the Edinburgh Fringe Festival this summer."/>
    <n v="1000"/>
    <n v="1168"/>
    <x v="0"/>
    <x v="1"/>
    <x v="1"/>
    <n v="1406502000"/>
    <n v="1405583108"/>
    <b v="0"/>
    <x v="55"/>
    <b v="1"/>
    <x v="6"/>
    <x v="2462"/>
    <n v="1084"/>
    <x v="1"/>
    <x v="6"/>
  </r>
  <r>
    <x v="3330"/>
    <x v="3329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x v="50"/>
    <b v="1"/>
    <x v="6"/>
    <x v="2463"/>
    <n v="1547"/>
    <x v="1"/>
    <x v="6"/>
  </r>
  <r>
    <x v="3331"/>
    <x v="3330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x v="71"/>
    <b v="1"/>
    <x v="6"/>
    <x v="2464"/>
    <n v="5113"/>
    <x v="1"/>
    <x v="6"/>
  </r>
  <r>
    <x v="3332"/>
    <x v="3331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x v="183"/>
    <b v="1"/>
    <x v="6"/>
    <x v="31"/>
    <n v="6000"/>
    <x v="1"/>
    <x v="6"/>
  </r>
  <r>
    <x v="3333"/>
    <x v="3332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x v="112"/>
    <b v="1"/>
    <x v="6"/>
    <x v="2465"/>
    <n v="3580"/>
    <x v="1"/>
    <x v="6"/>
  </r>
  <r>
    <x v="3334"/>
    <x v="3333"/>
    <s v="The Saltbox Theatre Collective is a brand new not-for-profit theatre company in Illinois."/>
    <n v="3871"/>
    <n v="5366"/>
    <x v="0"/>
    <x v="0"/>
    <x v="0"/>
    <n v="1438259422"/>
    <n v="1435667422"/>
    <b v="0"/>
    <x v="67"/>
    <b v="1"/>
    <x v="6"/>
    <x v="2466"/>
    <n v="4618.5"/>
    <x v="1"/>
    <x v="6"/>
  </r>
  <r>
    <x v="3335"/>
    <x v="333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x v="287"/>
    <b v="1"/>
    <x v="6"/>
    <x v="2467"/>
    <n v="5008"/>
    <x v="1"/>
    <x v="6"/>
  </r>
  <r>
    <x v="3336"/>
    <x v="3335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x v="82"/>
    <b v="1"/>
    <x v="6"/>
    <x v="31"/>
    <n v="250"/>
    <x v="1"/>
    <x v="6"/>
  </r>
  <r>
    <x v="3337"/>
    <x v="3336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x v="69"/>
    <b v="1"/>
    <x v="6"/>
    <x v="1097"/>
    <n v="2627.5"/>
    <x v="1"/>
    <x v="6"/>
  </r>
  <r>
    <x v="3338"/>
    <x v="3337"/>
    <s v="Join Estelle Parsons in support of Theater That Looks and Sounds Like America"/>
    <n v="15000"/>
    <n v="15327"/>
    <x v="0"/>
    <x v="0"/>
    <x v="0"/>
    <n v="1487944080"/>
    <n v="1486129680"/>
    <b v="0"/>
    <x v="300"/>
    <b v="1"/>
    <x v="6"/>
    <x v="2468"/>
    <n v="15163.5"/>
    <x v="1"/>
    <x v="6"/>
  </r>
  <r>
    <x v="3339"/>
    <x v="3338"/>
    <s v="FPLA presents FRIENDS IN TRANSIENT PLACES by Jonathan Caren: a magical story of modern life."/>
    <n v="8000"/>
    <n v="8348"/>
    <x v="0"/>
    <x v="0"/>
    <x v="0"/>
    <n v="1469721518"/>
    <n v="1467129518"/>
    <b v="0"/>
    <x v="5"/>
    <b v="1"/>
    <x v="6"/>
    <x v="2469"/>
    <n v="8174"/>
    <x v="1"/>
    <x v="6"/>
  </r>
  <r>
    <x v="3340"/>
    <x v="3339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x v="44"/>
    <b v="1"/>
    <x v="6"/>
    <x v="2470"/>
    <n v="3572.5"/>
    <x v="1"/>
    <x v="6"/>
  </r>
  <r>
    <x v="3341"/>
    <x v="3340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x v="33"/>
    <b v="1"/>
    <x v="6"/>
    <x v="31"/>
    <n v="3350"/>
    <x v="1"/>
    <x v="6"/>
  </r>
  <r>
    <x v="3342"/>
    <x v="3341"/>
    <s v="We believe in the power of stories to change the world. Theatre that inspires transformation."/>
    <n v="6000"/>
    <n v="6100"/>
    <x v="0"/>
    <x v="0"/>
    <x v="0"/>
    <n v="1427864340"/>
    <n v="1425020810"/>
    <b v="0"/>
    <x v="76"/>
    <b v="1"/>
    <x v="6"/>
    <x v="658"/>
    <n v="6050"/>
    <x v="1"/>
    <x v="6"/>
  </r>
  <r>
    <x v="3343"/>
    <x v="3342"/>
    <s v="Two sisters make a set of paper dolls which take them on a journey across lands, creating memories along the way."/>
    <n v="700"/>
    <n v="1200"/>
    <x v="0"/>
    <x v="1"/>
    <x v="1"/>
    <n v="1460553480"/>
    <n v="1458770384"/>
    <b v="0"/>
    <x v="23"/>
    <b v="1"/>
    <x v="6"/>
    <x v="2214"/>
    <n v="950"/>
    <x v="1"/>
    <x v="6"/>
  </r>
  <r>
    <x v="3344"/>
    <x v="3343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x v="244"/>
    <b v="1"/>
    <x v="6"/>
    <x v="2471"/>
    <n v="4532.5"/>
    <x v="1"/>
    <x v="6"/>
  </r>
  <r>
    <x v="3345"/>
    <x v="3344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x v="62"/>
    <b v="1"/>
    <x v="6"/>
    <x v="2129"/>
    <n v="575"/>
    <x v="1"/>
    <x v="6"/>
  </r>
  <r>
    <x v="3346"/>
    <x v="3345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x v="59"/>
    <b v="1"/>
    <x v="6"/>
    <x v="1007"/>
    <n v="1575"/>
    <x v="1"/>
    <x v="6"/>
  </r>
  <r>
    <x v="3347"/>
    <x v="3346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x v="19"/>
    <b v="1"/>
    <x v="6"/>
    <x v="2472"/>
    <n v="2194.5"/>
    <x v="1"/>
    <x v="6"/>
  </r>
  <r>
    <x v="3348"/>
    <x v="3265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x v="1"/>
    <b v="1"/>
    <x v="6"/>
    <x v="2473"/>
    <n v="5508"/>
    <x v="1"/>
    <x v="6"/>
  </r>
  <r>
    <x v="3349"/>
    <x v="3347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x v="25"/>
    <b v="1"/>
    <x v="6"/>
    <x v="2474"/>
    <n v="1267"/>
    <x v="1"/>
    <x v="6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x v="13"/>
    <b v="1"/>
    <x v="6"/>
    <x v="2475"/>
    <n v="3577.5"/>
    <x v="1"/>
    <x v="6"/>
  </r>
  <r>
    <x v="3351"/>
    <x v="3349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x v="241"/>
    <b v="1"/>
    <x v="6"/>
    <x v="940"/>
    <n v="5027.5"/>
    <x v="1"/>
    <x v="6"/>
  </r>
  <r>
    <x v="3352"/>
    <x v="3350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x v="16"/>
    <b v="1"/>
    <x v="6"/>
    <x v="2476"/>
    <n v="5188"/>
    <x v="1"/>
    <x v="6"/>
  </r>
  <r>
    <x v="3353"/>
    <x v="3351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x v="34"/>
    <b v="1"/>
    <x v="6"/>
    <x v="2477"/>
    <n v="1037.5"/>
    <x v="1"/>
    <x v="6"/>
  </r>
  <r>
    <x v="3354"/>
    <x v="3352"/>
    <s v="Help Strangeloop Theatre create and support new work by sponsoring our 2015-2016 season."/>
    <n v="3000"/>
    <n v="3058"/>
    <x v="0"/>
    <x v="0"/>
    <x v="0"/>
    <n v="1446091260"/>
    <n v="1443029206"/>
    <b v="0"/>
    <x v="165"/>
    <b v="1"/>
    <x v="6"/>
    <x v="2478"/>
    <n v="3029"/>
    <x v="1"/>
    <x v="6"/>
  </r>
  <r>
    <x v="3355"/>
    <x v="335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x v="41"/>
    <b v="1"/>
    <x v="6"/>
    <x v="2479"/>
    <n v="1980"/>
    <x v="1"/>
    <x v="6"/>
  </r>
  <r>
    <x v="3356"/>
    <x v="3354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x v="74"/>
    <b v="1"/>
    <x v="6"/>
    <x v="578"/>
    <n v="1510.5"/>
    <x v="1"/>
    <x v="6"/>
  </r>
  <r>
    <x v="3357"/>
    <x v="3355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x v="64"/>
    <b v="1"/>
    <x v="6"/>
    <x v="50"/>
    <n v="2010"/>
    <x v="1"/>
    <x v="6"/>
  </r>
  <r>
    <x v="3358"/>
    <x v="3356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x v="372"/>
    <b v="1"/>
    <x v="6"/>
    <x v="2480"/>
    <n v="10149.5"/>
    <x v="1"/>
    <x v="6"/>
  </r>
  <r>
    <x v="3359"/>
    <x v="3357"/>
    <s v="A Theatrical Production Celebrating the Lebanese Culture and the Human Spirit in Time of War."/>
    <n v="4000"/>
    <n v="4250"/>
    <x v="0"/>
    <x v="0"/>
    <x v="0"/>
    <n v="1487985734"/>
    <n v="1484097734"/>
    <b v="0"/>
    <x v="23"/>
    <b v="1"/>
    <x v="6"/>
    <x v="90"/>
    <n v="4125"/>
    <x v="1"/>
    <x v="6"/>
  </r>
  <r>
    <x v="3360"/>
    <x v="3358"/>
    <s v="World Premiere, an M1 Singapore Fringe Festival 2017 commission."/>
    <n v="9000"/>
    <n v="9124"/>
    <x v="0"/>
    <x v="20"/>
    <x v="12"/>
    <n v="1481731140"/>
    <n v="1479866343"/>
    <b v="0"/>
    <x v="250"/>
    <b v="1"/>
    <x v="6"/>
    <x v="2481"/>
    <n v="9062"/>
    <x v="1"/>
    <x v="6"/>
  </r>
  <r>
    <x v="3361"/>
    <x v="3359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x v="32"/>
    <b v="1"/>
    <x v="6"/>
    <x v="2482"/>
    <n v="5336.5"/>
    <x v="1"/>
    <x v="6"/>
  </r>
  <r>
    <x v="3362"/>
    <x v="3360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x v="9"/>
    <b v="1"/>
    <x v="6"/>
    <x v="678"/>
    <n v="795"/>
    <x v="1"/>
    <x v="6"/>
  </r>
  <r>
    <x v="3363"/>
    <x v="3361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x v="55"/>
    <b v="1"/>
    <x v="6"/>
    <x v="2483"/>
    <n v="7805"/>
    <x v="1"/>
    <x v="6"/>
  </r>
  <r>
    <x v="3364"/>
    <x v="3362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x v="250"/>
    <b v="1"/>
    <x v="6"/>
    <x v="2484"/>
    <n v="3089"/>
    <x v="1"/>
    <x v="6"/>
  </r>
  <r>
    <x v="3365"/>
    <x v="3363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x v="83"/>
    <b v="1"/>
    <x v="6"/>
    <x v="87"/>
    <n v="2550"/>
    <x v="1"/>
    <x v="6"/>
  </r>
  <r>
    <x v="3366"/>
    <x v="3364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x v="59"/>
    <b v="1"/>
    <x v="6"/>
    <x v="2485"/>
    <n v="802.5"/>
    <x v="1"/>
    <x v="6"/>
  </r>
  <r>
    <x v="3367"/>
    <x v="3365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x v="209"/>
    <b v="1"/>
    <x v="6"/>
    <x v="2486"/>
    <n v="820"/>
    <x v="1"/>
    <x v="6"/>
  </r>
  <r>
    <x v="3368"/>
    <x v="3366"/>
    <s v="Help a non-profit community theatre create an unforgettable production of J.M. Barrie's classic play."/>
    <n v="1000"/>
    <n v="1046"/>
    <x v="0"/>
    <x v="0"/>
    <x v="0"/>
    <n v="1420088400"/>
    <n v="1416977259"/>
    <b v="0"/>
    <x v="23"/>
    <b v="1"/>
    <x v="6"/>
    <x v="81"/>
    <n v="1023"/>
    <x v="1"/>
    <x v="6"/>
  </r>
  <r>
    <x v="3369"/>
    <x v="3367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x v="241"/>
    <b v="1"/>
    <x v="6"/>
    <x v="3"/>
    <n v="5097.5"/>
    <x v="1"/>
    <x v="6"/>
  </r>
  <r>
    <x v="3370"/>
    <x v="3368"/>
    <s v="I'm Alright. A story of young women, told by young women, for the world."/>
    <n v="1500"/>
    <n v="1766"/>
    <x v="0"/>
    <x v="0"/>
    <x v="0"/>
    <n v="1481961600"/>
    <n v="1479283285"/>
    <b v="0"/>
    <x v="55"/>
    <b v="1"/>
    <x v="6"/>
    <x v="2487"/>
    <n v="1633"/>
    <x v="1"/>
    <x v="6"/>
  </r>
  <r>
    <x v="3371"/>
    <x v="3369"/>
    <s v="Help support Red Planet, a new science fiction play based off the Mars One exploration."/>
    <n v="200"/>
    <n v="277"/>
    <x v="0"/>
    <x v="0"/>
    <x v="0"/>
    <n v="1449089965"/>
    <n v="1446670765"/>
    <b v="0"/>
    <x v="82"/>
    <b v="1"/>
    <x v="6"/>
    <x v="2488"/>
    <n v="238.5"/>
    <x v="1"/>
    <x v="6"/>
  </r>
  <r>
    <x v="3372"/>
    <x v="3370"/>
    <s v="This play tells the story of the toxicity of sensationalism shown through one man's struggle with notoriety."/>
    <n v="1000"/>
    <n v="1035"/>
    <x v="0"/>
    <x v="0"/>
    <x v="0"/>
    <n v="1408942740"/>
    <n v="1407157756"/>
    <b v="0"/>
    <x v="74"/>
    <b v="1"/>
    <x v="6"/>
    <x v="991"/>
    <n v="1017.5"/>
    <x v="1"/>
    <x v="6"/>
  </r>
  <r>
    <x v="3373"/>
    <x v="3371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x v="209"/>
    <b v="1"/>
    <x v="6"/>
    <x v="598"/>
    <n v="2002.5"/>
    <x v="1"/>
    <x v="6"/>
  </r>
  <r>
    <x v="3374"/>
    <x v="3372"/>
    <s v="A rare  production of World acclaimed playwright Howard Barker's groundbreaking &amp; provocative 'The Castle'."/>
    <n v="3500"/>
    <n v="3730"/>
    <x v="0"/>
    <x v="5"/>
    <x v="5"/>
    <n v="1446053616"/>
    <n v="1443461616"/>
    <b v="0"/>
    <x v="47"/>
    <b v="1"/>
    <x v="6"/>
    <x v="2489"/>
    <n v="3615"/>
    <x v="1"/>
    <x v="6"/>
  </r>
  <r>
    <x v="3375"/>
    <x v="3373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x v="57"/>
    <b v="1"/>
    <x v="6"/>
    <x v="31"/>
    <n v="3000"/>
    <x v="1"/>
    <x v="6"/>
  </r>
  <r>
    <x v="3376"/>
    <x v="3374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x v="10"/>
    <b v="1"/>
    <x v="6"/>
    <x v="77"/>
    <n v="8000.5"/>
    <x v="1"/>
    <x v="6"/>
  </r>
  <r>
    <x v="3377"/>
    <x v="3375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x v="99"/>
    <b v="1"/>
    <x v="6"/>
    <x v="348"/>
    <n v="8042"/>
    <x v="1"/>
    <x v="6"/>
  </r>
  <r>
    <x v="3378"/>
    <x v="3376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x v="64"/>
    <b v="1"/>
    <x v="6"/>
    <x v="2490"/>
    <n v="571"/>
    <x v="1"/>
    <x v="6"/>
  </r>
  <r>
    <x v="3379"/>
    <x v="3377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x v="44"/>
    <b v="1"/>
    <x v="6"/>
    <x v="2491"/>
    <n v="2036.5"/>
    <x v="1"/>
    <x v="6"/>
  </r>
  <r>
    <x v="3380"/>
    <x v="3378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x v="33"/>
    <b v="1"/>
    <x v="6"/>
    <x v="2492"/>
    <n v="3066.5"/>
    <x v="1"/>
    <x v="6"/>
  </r>
  <r>
    <x v="3381"/>
    <x v="3379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x v="53"/>
    <b v="1"/>
    <x v="6"/>
    <x v="1891"/>
    <n v="4045"/>
    <x v="1"/>
    <x v="6"/>
  </r>
  <r>
    <x v="3382"/>
    <x v="3380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x v="67"/>
    <b v="1"/>
    <x v="6"/>
    <x v="2493"/>
    <n v="3513"/>
    <x v="1"/>
    <x v="6"/>
  </r>
  <r>
    <x v="3383"/>
    <x v="3381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x v="209"/>
    <b v="1"/>
    <x v="6"/>
    <x v="1942"/>
    <n v="1852.5"/>
    <x v="1"/>
    <x v="6"/>
  </r>
  <r>
    <x v="3384"/>
    <x v="3382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x v="31"/>
    <b v="1"/>
    <x v="6"/>
    <x v="2494"/>
    <n v="6000.33"/>
    <x v="1"/>
    <x v="6"/>
  </r>
  <r>
    <x v="3385"/>
    <x v="3383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x v="41"/>
    <b v="1"/>
    <x v="6"/>
    <x v="31"/>
    <n v="2000"/>
    <x v="1"/>
    <x v="6"/>
  </r>
  <r>
    <x v="3386"/>
    <x v="3384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x v="14"/>
    <b v="1"/>
    <x v="6"/>
    <x v="2"/>
    <n v="2050"/>
    <x v="1"/>
    <x v="6"/>
  </r>
  <r>
    <x v="3387"/>
    <x v="3385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x v="2"/>
    <b v="1"/>
    <x v="6"/>
    <x v="2495"/>
    <n v="3253"/>
    <x v="1"/>
    <x v="6"/>
  </r>
  <r>
    <x v="3388"/>
    <x v="3386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x v="43"/>
    <b v="1"/>
    <x v="6"/>
    <x v="965"/>
    <n v="1528.5"/>
    <x v="1"/>
    <x v="6"/>
  </r>
  <r>
    <x v="3389"/>
    <x v="3387"/>
    <s v="Chimera Ensemble is launching 2 inaugural theater productions, and we need support to do high quality work!"/>
    <n v="10000"/>
    <n v="11450"/>
    <x v="0"/>
    <x v="0"/>
    <x v="0"/>
    <n v="1464960682"/>
    <n v="1462368682"/>
    <b v="0"/>
    <x v="95"/>
    <b v="1"/>
    <x v="6"/>
    <x v="1444"/>
    <n v="10725"/>
    <x v="1"/>
    <x v="6"/>
  </r>
  <r>
    <x v="3390"/>
    <x v="3388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x v="19"/>
    <b v="1"/>
    <x v="6"/>
    <x v="2122"/>
    <n v="1518"/>
    <x v="1"/>
    <x v="6"/>
  </r>
  <r>
    <x v="3391"/>
    <x v="3389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x v="59"/>
    <b v="1"/>
    <x v="6"/>
    <x v="2496"/>
    <n v="807.5"/>
    <x v="1"/>
    <x v="6"/>
  </r>
  <r>
    <x v="3392"/>
    <x v="3390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x v="8"/>
    <b v="1"/>
    <x v="6"/>
    <x v="31"/>
    <n v="500"/>
    <x v="1"/>
    <x v="6"/>
  </r>
  <r>
    <x v="3393"/>
    <x v="3391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x v="34"/>
    <b v="1"/>
    <x v="6"/>
    <x v="1725"/>
    <n v="1543.5"/>
    <x v="1"/>
    <x v="6"/>
  </r>
  <r>
    <x v="3394"/>
    <x v="3392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x v="74"/>
    <b v="1"/>
    <x v="6"/>
    <x v="2497"/>
    <n v="666.5"/>
    <x v="1"/>
    <x v="6"/>
  </r>
  <r>
    <x v="3395"/>
    <x v="3393"/>
    <s v="Miramar is a a darkly funny play exploring what it is we call â€˜homeâ€™."/>
    <n v="500"/>
    <n v="920"/>
    <x v="0"/>
    <x v="1"/>
    <x v="1"/>
    <n v="1433009400"/>
    <n v="1431795944"/>
    <b v="0"/>
    <x v="44"/>
    <b v="1"/>
    <x v="6"/>
    <x v="2498"/>
    <n v="710"/>
    <x v="1"/>
    <x v="6"/>
  </r>
  <r>
    <x v="3396"/>
    <x v="3394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x v="33"/>
    <b v="1"/>
    <x v="6"/>
    <x v="2499"/>
    <n v="1532.5"/>
    <x v="1"/>
    <x v="6"/>
  </r>
  <r>
    <x v="3397"/>
    <x v="3395"/>
    <s v="Help a group of recovering alcoholics bring Samuel Beckett's classic to a seaside town!"/>
    <n v="250"/>
    <n v="280"/>
    <x v="0"/>
    <x v="1"/>
    <x v="1"/>
    <n v="1455832800"/>
    <n v="1452338929"/>
    <b v="0"/>
    <x v="54"/>
    <b v="1"/>
    <x v="6"/>
    <x v="1990"/>
    <n v="265"/>
    <x v="1"/>
    <x v="6"/>
  </r>
  <r>
    <x v="3398"/>
    <x v="3396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x v="71"/>
    <b v="1"/>
    <x v="6"/>
    <x v="2500"/>
    <n v="4221.5"/>
    <x v="1"/>
    <x v="6"/>
  </r>
  <r>
    <x v="3399"/>
    <x v="3397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x v="67"/>
    <b v="1"/>
    <x v="6"/>
    <x v="603"/>
    <n v="1222.5"/>
    <x v="1"/>
    <x v="6"/>
  </r>
  <r>
    <x v="3400"/>
    <x v="3398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x v="268"/>
    <b v="1"/>
    <x v="6"/>
    <x v="2501"/>
    <n v="10020.5"/>
    <x v="1"/>
    <x v="6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x v="36"/>
    <b v="1"/>
    <x v="6"/>
    <x v="2502"/>
    <n v="2927"/>
    <x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x v="111"/>
    <b v="1"/>
    <x v="6"/>
    <x v="2503"/>
    <n v="15732.5"/>
    <x v="1"/>
    <x v="6"/>
  </r>
  <r>
    <x v="3403"/>
    <x v="3401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x v="57"/>
    <b v="1"/>
    <x v="6"/>
    <x v="31"/>
    <n v="2000"/>
    <x v="1"/>
    <x v="6"/>
  </r>
  <r>
    <x v="3404"/>
    <x v="3402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x v="83"/>
    <b v="1"/>
    <x v="6"/>
    <x v="1009"/>
    <n v="555"/>
    <x v="1"/>
    <x v="6"/>
  </r>
  <r>
    <x v="3405"/>
    <x v="3403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x v="57"/>
    <b v="1"/>
    <x v="6"/>
    <x v="2504"/>
    <n v="415.75"/>
    <x v="1"/>
    <x v="6"/>
  </r>
  <r>
    <x v="3406"/>
    <x v="3404"/>
    <s v="A funny and moving new play about two families dealing with aging parents in very different ways!"/>
    <n v="10000"/>
    <n v="10031"/>
    <x v="0"/>
    <x v="0"/>
    <x v="0"/>
    <n v="1405511376"/>
    <n v="1401623376"/>
    <b v="0"/>
    <x v="110"/>
    <b v="1"/>
    <x v="6"/>
    <x v="2505"/>
    <n v="10015.5"/>
    <x v="1"/>
    <x v="6"/>
  </r>
  <r>
    <x v="3407"/>
    <x v="3405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x v="85"/>
    <b v="1"/>
    <x v="6"/>
    <x v="1088"/>
    <n v="2071"/>
    <x v="1"/>
    <x v="6"/>
  </r>
  <r>
    <x v="3408"/>
    <x v="3406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x v="59"/>
    <b v="1"/>
    <x v="6"/>
    <x v="2506"/>
    <n v="777.5"/>
    <x v="1"/>
    <x v="6"/>
  </r>
  <r>
    <x v="3409"/>
    <x v="3407"/>
    <s v="Exciting and visceral new-writing that challenges the way we view the fine line between war and terror..."/>
    <n v="500"/>
    <n v="618"/>
    <x v="0"/>
    <x v="1"/>
    <x v="1"/>
    <n v="1469998680"/>
    <n v="1466710358"/>
    <b v="0"/>
    <x v="64"/>
    <b v="1"/>
    <x v="6"/>
    <x v="2507"/>
    <n v="559"/>
    <x v="1"/>
    <x v="6"/>
  </r>
  <r>
    <x v="3410"/>
    <x v="3408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x v="244"/>
    <b v="1"/>
    <x v="6"/>
    <x v="2508"/>
    <n v="3127.5"/>
    <x v="1"/>
    <x v="6"/>
  </r>
  <r>
    <x v="3411"/>
    <x v="3409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x v="76"/>
    <b v="1"/>
    <x v="6"/>
    <x v="2509"/>
    <n v="15267.5"/>
    <x v="1"/>
    <x v="6"/>
  </r>
  <r>
    <x v="3412"/>
    <x v="3410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x v="55"/>
    <b v="1"/>
    <x v="6"/>
    <x v="31"/>
    <n v="3000"/>
    <x v="1"/>
    <x v="6"/>
  </r>
  <r>
    <x v="3413"/>
    <x v="3411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x v="25"/>
    <b v="1"/>
    <x v="6"/>
    <x v="2129"/>
    <n v="575"/>
    <x v="1"/>
    <x v="6"/>
  </r>
  <r>
    <x v="3414"/>
    <x v="3412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x v="34"/>
    <b v="1"/>
    <x v="6"/>
    <x v="991"/>
    <n v="3052.5"/>
    <x v="1"/>
    <x v="6"/>
  </r>
  <r>
    <x v="3415"/>
    <x v="3413"/>
    <s v="We are raising funds to allow for enhanced scenic, costume, and lighting design. Every dollar helps!"/>
    <n v="200"/>
    <n v="200"/>
    <x v="0"/>
    <x v="0"/>
    <x v="0"/>
    <n v="1460935800"/>
    <n v="1459999656"/>
    <b v="0"/>
    <x v="82"/>
    <b v="1"/>
    <x v="6"/>
    <x v="31"/>
    <n v="200"/>
    <x v="1"/>
    <x v="6"/>
  </r>
  <r>
    <x v="3416"/>
    <x v="3414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x v="209"/>
    <b v="1"/>
    <x v="6"/>
    <x v="1774"/>
    <n v="4392"/>
    <x v="1"/>
    <x v="6"/>
  </r>
  <r>
    <x v="3417"/>
    <x v="3415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x v="43"/>
    <b v="1"/>
    <x v="6"/>
    <x v="2510"/>
    <n v="1700.0050000000001"/>
    <x v="1"/>
    <x v="6"/>
  </r>
  <r>
    <x v="3418"/>
    <x v="3416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x v="66"/>
    <b v="1"/>
    <x v="6"/>
    <x v="2511"/>
    <n v="4017.5"/>
    <x v="1"/>
    <x v="6"/>
  </r>
  <r>
    <x v="3419"/>
    <x v="3417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x v="67"/>
    <b v="1"/>
    <x v="6"/>
    <x v="2512"/>
    <n v="2840"/>
    <x v="1"/>
    <x v="6"/>
  </r>
  <r>
    <x v="3420"/>
    <x v="3418"/>
    <s v="A powerful and urgent tale of the first line of defence for the NHS. Based on true stories from junior doctors."/>
    <n v="700"/>
    <n v="966"/>
    <x v="0"/>
    <x v="1"/>
    <x v="1"/>
    <n v="1455408000"/>
    <n v="1454638202"/>
    <b v="0"/>
    <x v="69"/>
    <b v="1"/>
    <x v="6"/>
    <x v="2513"/>
    <n v="833"/>
    <x v="1"/>
    <x v="6"/>
  </r>
  <r>
    <x v="3421"/>
    <x v="3419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x v="15"/>
    <b v="1"/>
    <x v="6"/>
    <x v="2514"/>
    <n v="10057.5"/>
    <x v="1"/>
    <x v="6"/>
  </r>
  <r>
    <x v="3422"/>
    <x v="3420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x v="67"/>
    <b v="1"/>
    <x v="6"/>
    <x v="1071"/>
    <n v="3136.5"/>
    <x v="1"/>
    <x v="6"/>
  </r>
  <r>
    <x v="3423"/>
    <x v="3421"/>
    <s v="Forest Hills Eastern's Student Run Show 2015. Our goal is to present a professional quality show on a budget."/>
    <n v="250"/>
    <n v="350"/>
    <x v="0"/>
    <x v="0"/>
    <x v="0"/>
    <n v="1429912341"/>
    <n v="1427320341"/>
    <b v="0"/>
    <x v="73"/>
    <b v="1"/>
    <x v="6"/>
    <x v="2515"/>
    <n v="300"/>
    <x v="1"/>
    <x v="6"/>
  </r>
  <r>
    <x v="3424"/>
    <x v="3422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x v="88"/>
    <b v="1"/>
    <x v="6"/>
    <x v="2062"/>
    <n v="6107.5"/>
    <x v="1"/>
    <x v="6"/>
  </r>
  <r>
    <x v="3425"/>
    <x v="3423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x v="201"/>
    <b v="1"/>
    <x v="6"/>
    <x v="2516"/>
    <n v="30445.55"/>
    <x v="1"/>
    <x v="6"/>
  </r>
  <r>
    <x v="3426"/>
    <x v="3424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x v="45"/>
    <b v="1"/>
    <x v="6"/>
    <x v="2517"/>
    <n v="3902.5"/>
    <x v="1"/>
    <x v="6"/>
  </r>
  <r>
    <x v="3427"/>
    <x v="3425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x v="60"/>
    <b v="1"/>
    <x v="6"/>
    <x v="31"/>
    <n v="1500"/>
    <x v="1"/>
    <x v="6"/>
  </r>
  <r>
    <x v="3428"/>
    <x v="3426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x v="13"/>
    <b v="1"/>
    <x v="6"/>
    <x v="1015"/>
    <n v="2027.5"/>
    <x v="1"/>
    <x v="6"/>
  </r>
  <r>
    <x v="3429"/>
    <x v="3427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x v="8"/>
    <b v="1"/>
    <x v="6"/>
    <x v="2129"/>
    <n v="172.5"/>
    <x v="1"/>
    <x v="6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x v="250"/>
    <b v="1"/>
    <x v="6"/>
    <x v="2518"/>
    <n v="2085.4949999999999"/>
    <x v="1"/>
    <x v="6"/>
  </r>
  <r>
    <x v="3431"/>
    <x v="3429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x v="64"/>
    <b v="1"/>
    <x v="6"/>
    <x v="31"/>
    <n v="2000"/>
    <x v="1"/>
    <x v="6"/>
  </r>
  <r>
    <x v="3432"/>
    <x v="3430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x v="288"/>
    <b v="1"/>
    <x v="6"/>
    <x v="2519"/>
    <n v="2096.5"/>
    <x v="1"/>
    <x v="6"/>
  </r>
  <r>
    <x v="3433"/>
    <x v="3431"/>
    <s v="death&amp;pretzels presents their first Chicago based project:_x000a_The Dybbuk by S. Ansky"/>
    <n v="9500"/>
    <n v="9525"/>
    <x v="0"/>
    <x v="0"/>
    <x v="0"/>
    <n v="1402974000"/>
    <n v="1400290255"/>
    <b v="0"/>
    <x v="26"/>
    <b v="1"/>
    <x v="6"/>
    <x v="2520"/>
    <n v="9512.5"/>
    <x v="1"/>
    <x v="6"/>
  </r>
  <r>
    <x v="3434"/>
    <x v="3432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x v="129"/>
    <b v="1"/>
    <x v="6"/>
    <x v="1442"/>
    <n v="10277.5"/>
    <x v="1"/>
    <x v="6"/>
  </r>
  <r>
    <x v="3435"/>
    <x v="3433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x v="10"/>
    <b v="1"/>
    <x v="6"/>
    <x v="1990"/>
    <n v="1060"/>
    <x v="1"/>
    <x v="6"/>
  </r>
  <r>
    <x v="3436"/>
    <x v="3434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x v="77"/>
    <b v="1"/>
    <x v="6"/>
    <x v="2521"/>
    <n v="5147.5"/>
    <x v="1"/>
    <x v="6"/>
  </r>
  <r>
    <x v="3437"/>
    <x v="3435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x v="17"/>
    <b v="1"/>
    <x v="6"/>
    <x v="50"/>
    <n v="3015"/>
    <x v="1"/>
    <x v="6"/>
  </r>
  <r>
    <x v="3438"/>
    <x v="3436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x v="25"/>
    <b v="1"/>
    <x v="6"/>
    <x v="1243"/>
    <n v="2552.5"/>
    <x v="1"/>
    <x v="6"/>
  </r>
  <r>
    <x v="3439"/>
    <x v="3437"/>
    <s v="Help a small theater produce an original adaptation of Lewis Carroll's classic story."/>
    <n v="1200"/>
    <n v="1616.14"/>
    <x v="0"/>
    <x v="0"/>
    <x v="0"/>
    <n v="1453179540"/>
    <n v="1452030730"/>
    <b v="0"/>
    <x v="59"/>
    <b v="1"/>
    <x v="6"/>
    <x v="2522"/>
    <n v="1408.0700000000002"/>
    <x v="1"/>
    <x v="6"/>
  </r>
  <r>
    <x v="3440"/>
    <x v="3438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x v="141"/>
    <b v="1"/>
    <x v="6"/>
    <x v="2523"/>
    <n v="5130.46"/>
    <x v="1"/>
    <x v="6"/>
  </r>
  <r>
    <x v="3441"/>
    <x v="3439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x v="68"/>
    <b v="1"/>
    <x v="6"/>
    <x v="946"/>
    <n v="2532.5"/>
    <x v="1"/>
    <x v="6"/>
  </r>
  <r>
    <x v="3442"/>
    <x v="3440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x v="22"/>
    <b v="1"/>
    <x v="6"/>
    <x v="31"/>
    <n v="250"/>
    <x v="1"/>
    <x v="6"/>
  </r>
  <r>
    <x v="3443"/>
    <x v="3441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x v="43"/>
    <b v="1"/>
    <x v="6"/>
    <x v="2524"/>
    <n v="1427.5"/>
    <x v="1"/>
    <x v="6"/>
  </r>
  <r>
    <x v="3444"/>
    <x v="3442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x v="9"/>
    <b v="1"/>
    <x v="6"/>
    <x v="2525"/>
    <n v="583.5"/>
    <x v="1"/>
    <x v="6"/>
  </r>
  <r>
    <x v="3445"/>
    <x v="3443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x v="162"/>
    <b v="1"/>
    <x v="6"/>
    <x v="31"/>
    <n v="2000"/>
    <x v="1"/>
    <x v="6"/>
  </r>
  <r>
    <x v="3446"/>
    <x v="3444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x v="20"/>
    <b v="1"/>
    <x v="6"/>
    <x v="2123"/>
    <n v="1041"/>
    <x v="1"/>
    <x v="6"/>
  </r>
  <r>
    <x v="3447"/>
    <x v="3445"/>
    <s v="&quot;He was a poet, a vagrant, a philosopher, a lady's man and a hard drinker&quot;"/>
    <n v="1000"/>
    <n v="1078"/>
    <x v="0"/>
    <x v="0"/>
    <x v="0"/>
    <n v="1458332412"/>
    <n v="1454448012"/>
    <b v="0"/>
    <x v="25"/>
    <b v="1"/>
    <x v="6"/>
    <x v="2526"/>
    <n v="1039"/>
    <x v="1"/>
    <x v="6"/>
  </r>
  <r>
    <x v="3448"/>
    <x v="3446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x v="43"/>
    <b v="1"/>
    <x v="6"/>
    <x v="2527"/>
    <n v="2202.5"/>
    <x v="1"/>
    <x v="6"/>
  </r>
  <r>
    <x v="3449"/>
    <x v="3447"/>
    <s v="Help us produce this original play! The play will be presented at the LSTFI July 12-14. Follow us on Facebook."/>
    <n v="800"/>
    <n v="1365"/>
    <x v="0"/>
    <x v="0"/>
    <x v="0"/>
    <n v="1468036800"/>
    <n v="1465607738"/>
    <b v="0"/>
    <x v="9"/>
    <b v="1"/>
    <x v="6"/>
    <x v="2528"/>
    <n v="1082.5"/>
    <x v="1"/>
    <x v="6"/>
  </r>
  <r>
    <x v="3450"/>
    <x v="3448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x v="70"/>
    <b v="1"/>
    <x v="6"/>
    <x v="1710"/>
    <n v="630"/>
    <x v="1"/>
    <x v="6"/>
  </r>
  <r>
    <x v="3451"/>
    <x v="3449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x v="38"/>
    <b v="1"/>
    <x v="6"/>
    <x v="2529"/>
    <n v="654"/>
    <x v="1"/>
    <x v="6"/>
  </r>
  <r>
    <x v="3452"/>
    <x v="3450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x v="77"/>
    <b v="1"/>
    <x v="6"/>
    <x v="2530"/>
    <n v="1266"/>
    <x v="1"/>
    <x v="6"/>
  </r>
  <r>
    <x v="3453"/>
    <x v="3451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x v="25"/>
    <b v="1"/>
    <x v="6"/>
    <x v="2531"/>
    <n v="342.5"/>
    <x v="1"/>
    <x v="6"/>
  </r>
  <r>
    <x v="3454"/>
    <x v="3452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x v="64"/>
    <b v="1"/>
    <x v="6"/>
    <x v="2248"/>
    <n v="702.5"/>
    <x v="1"/>
    <x v="6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x v="50"/>
    <b v="1"/>
    <x v="6"/>
    <x v="2532"/>
    <n v="10032.5"/>
    <x v="1"/>
    <x v="6"/>
  </r>
  <r>
    <x v="3456"/>
    <x v="3454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x v="38"/>
    <b v="1"/>
    <x v="6"/>
    <x v="2533"/>
    <n v="4369.5"/>
    <x v="1"/>
    <x v="6"/>
  </r>
  <r>
    <x v="3457"/>
    <x v="3455"/>
    <s v="Robots, Space Battles, Mystery, and Intrigue. Nothing is Impossible..."/>
    <n v="2000"/>
    <n v="2804"/>
    <x v="0"/>
    <x v="0"/>
    <x v="0"/>
    <n v="1423720740"/>
    <n v="1421081857"/>
    <b v="0"/>
    <x v="165"/>
    <b v="1"/>
    <x v="6"/>
    <x v="2534"/>
    <n v="2402"/>
    <x v="1"/>
    <x v="6"/>
  </r>
  <r>
    <x v="3458"/>
    <x v="3456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x v="74"/>
    <b v="1"/>
    <x v="6"/>
    <x v="2535"/>
    <n v="1097"/>
    <x v="1"/>
    <x v="6"/>
  </r>
  <r>
    <x v="3459"/>
    <x v="3457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x v="17"/>
    <b v="1"/>
    <x v="6"/>
    <x v="2536"/>
    <n v="565.5"/>
    <x v="1"/>
    <x v="6"/>
  </r>
  <r>
    <x v="3460"/>
    <x v="3458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x v="10"/>
    <b v="1"/>
    <x v="6"/>
    <x v="2537"/>
    <n v="725"/>
    <x v="1"/>
    <x v="6"/>
  </r>
  <r>
    <x v="3461"/>
    <x v="3459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x v="8"/>
    <b v="1"/>
    <x v="6"/>
    <x v="2538"/>
    <n v="597.5"/>
    <x v="1"/>
    <x v="6"/>
  </r>
  <r>
    <x v="3462"/>
    <x v="3460"/>
    <s v="Help the Upstart Crows of Santa Fe bring Shakespeare's Julius Caesar to life with quality wooden stage swords!"/>
    <n v="250"/>
    <n v="505"/>
    <x v="0"/>
    <x v="0"/>
    <x v="0"/>
    <n v="1436551200"/>
    <n v="1435181628"/>
    <b v="0"/>
    <x v="57"/>
    <b v="1"/>
    <x v="6"/>
    <x v="2539"/>
    <n v="377.5"/>
    <x v="1"/>
    <x v="6"/>
  </r>
  <r>
    <x v="3463"/>
    <x v="3461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x v="229"/>
    <b v="1"/>
    <x v="6"/>
    <x v="2540"/>
    <n v="10169"/>
    <x v="1"/>
    <x v="6"/>
  </r>
  <r>
    <x v="3464"/>
    <x v="3462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x v="251"/>
    <b v="1"/>
    <x v="6"/>
    <x v="2541"/>
    <n v="5058.09"/>
    <x v="1"/>
    <x v="6"/>
  </r>
  <r>
    <x v="3465"/>
    <x v="3463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x v="17"/>
    <b v="1"/>
    <x v="6"/>
    <x v="288"/>
    <n v="2030"/>
    <x v="1"/>
    <x v="6"/>
  </r>
  <r>
    <x v="3466"/>
    <x v="3464"/>
    <s v="The Spotlight Youth Theater is a program where every participant has a moment in the spotlight."/>
    <n v="3500"/>
    <n v="4450"/>
    <x v="0"/>
    <x v="0"/>
    <x v="0"/>
    <n v="1461108450"/>
    <n v="1455928050"/>
    <b v="0"/>
    <x v="42"/>
    <b v="1"/>
    <x v="6"/>
    <x v="2542"/>
    <n v="3975"/>
    <x v="1"/>
    <x v="6"/>
  </r>
  <r>
    <x v="3467"/>
    <x v="3465"/>
    <s v="Venus in Fur, By David Ives."/>
    <n v="3000"/>
    <n v="3030"/>
    <x v="0"/>
    <x v="0"/>
    <x v="0"/>
    <n v="1426864032"/>
    <n v="1424275632"/>
    <b v="0"/>
    <x v="5"/>
    <b v="1"/>
    <x v="6"/>
    <x v="50"/>
    <n v="3015"/>
    <x v="1"/>
    <x v="6"/>
  </r>
  <r>
    <x v="3468"/>
    <x v="3466"/>
    <s v="Amidst the atrocities of WWII, two women transcend enemy lines to make the ultimate heroic sacrifice."/>
    <n v="10000"/>
    <n v="12178"/>
    <x v="0"/>
    <x v="0"/>
    <x v="0"/>
    <n v="1474426800"/>
    <n v="1471976529"/>
    <b v="0"/>
    <x v="57"/>
    <b v="1"/>
    <x v="6"/>
    <x v="2543"/>
    <n v="11089"/>
    <x v="1"/>
    <x v="6"/>
  </r>
  <r>
    <x v="3469"/>
    <x v="3467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x v="287"/>
    <b v="1"/>
    <x v="6"/>
    <x v="2544"/>
    <n v="2987.5"/>
    <x v="1"/>
    <x v="6"/>
  </r>
  <r>
    <x v="3470"/>
    <x v="3468"/>
    <s v="The New Artist's Circle is a theatre company dedicated to bringing the arts to young people."/>
    <n v="250"/>
    <n v="375"/>
    <x v="0"/>
    <x v="0"/>
    <x v="0"/>
    <n v="1468618680"/>
    <n v="1465345902"/>
    <b v="0"/>
    <x v="82"/>
    <b v="1"/>
    <x v="6"/>
    <x v="2111"/>
    <n v="312.5"/>
    <x v="1"/>
    <x v="6"/>
  </r>
  <r>
    <x v="3471"/>
    <x v="3469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x v="209"/>
    <b v="1"/>
    <x v="6"/>
    <x v="2545"/>
    <n v="786.5"/>
    <x v="1"/>
    <x v="6"/>
  </r>
  <r>
    <x v="3472"/>
    <x v="3470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x v="23"/>
    <b v="1"/>
    <x v="6"/>
    <x v="2546"/>
    <n v="2020.5"/>
    <x v="1"/>
    <x v="6"/>
  </r>
  <r>
    <x v="3473"/>
    <x v="3471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x v="51"/>
    <b v="1"/>
    <x v="6"/>
    <x v="31"/>
    <n v="4900"/>
    <x v="1"/>
    <x v="6"/>
  </r>
  <r>
    <x v="3474"/>
    <x v="3472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x v="70"/>
    <b v="1"/>
    <x v="6"/>
    <x v="50"/>
    <n v="2010"/>
    <x v="1"/>
    <x v="6"/>
  </r>
  <r>
    <x v="3475"/>
    <x v="3473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x v="57"/>
    <b v="1"/>
    <x v="6"/>
    <x v="1614"/>
    <n v="320"/>
    <x v="1"/>
    <x v="6"/>
  </r>
  <r>
    <x v="3476"/>
    <x v="3474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x v="79"/>
    <b v="1"/>
    <x v="6"/>
    <x v="87"/>
    <n v="306"/>
    <x v="1"/>
    <x v="6"/>
  </r>
  <r>
    <x v="3477"/>
    <x v="3475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x v="70"/>
    <b v="1"/>
    <x v="6"/>
    <x v="1288"/>
    <n v="1938"/>
    <x v="1"/>
    <x v="6"/>
  </r>
  <r>
    <x v="3478"/>
    <x v="3476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x v="7"/>
    <b v="1"/>
    <x v="6"/>
    <x v="2547"/>
    <n v="2128.5"/>
    <x v="1"/>
    <x v="6"/>
  </r>
  <r>
    <x v="3479"/>
    <x v="3477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x v="66"/>
    <b v="1"/>
    <x v="6"/>
    <x v="2548"/>
    <n v="1709"/>
    <x v="1"/>
    <x v="6"/>
  </r>
  <r>
    <x v="3480"/>
    <x v="3478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x v="62"/>
    <b v="1"/>
    <x v="6"/>
    <x v="2549"/>
    <n v="1820"/>
    <x v="1"/>
    <x v="6"/>
  </r>
  <r>
    <x v="3481"/>
    <x v="3479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x v="195"/>
    <b v="1"/>
    <x v="6"/>
    <x v="2395"/>
    <n v="10940"/>
    <x v="1"/>
    <x v="6"/>
  </r>
  <r>
    <x v="3482"/>
    <x v="3480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x v="144"/>
    <b v="1"/>
    <x v="6"/>
    <x v="2550"/>
    <n v="3575"/>
    <x v="1"/>
    <x v="6"/>
  </r>
  <r>
    <x v="3483"/>
    <x v="3481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x v="182"/>
    <b v="1"/>
    <x v="6"/>
    <x v="2551"/>
    <n v="4354"/>
    <x v="1"/>
    <x v="6"/>
  </r>
  <r>
    <x v="3484"/>
    <x v="3482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x v="34"/>
    <b v="1"/>
    <x v="6"/>
    <x v="2552"/>
    <n v="2678"/>
    <x v="1"/>
    <x v="6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x v="209"/>
    <b v="1"/>
    <x v="6"/>
    <x v="2553"/>
    <n v="1655"/>
    <x v="1"/>
    <x v="6"/>
  </r>
  <r>
    <x v="3486"/>
    <x v="3484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x v="66"/>
    <b v="1"/>
    <x v="6"/>
    <x v="26"/>
    <n v="3828"/>
    <x v="1"/>
    <x v="6"/>
  </r>
  <r>
    <x v="3487"/>
    <x v="3485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x v="36"/>
    <b v="1"/>
    <x v="6"/>
    <x v="92"/>
    <n v="2277.5"/>
    <x v="1"/>
    <x v="6"/>
  </r>
  <r>
    <x v="3488"/>
    <x v="3486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x v="60"/>
    <b v="1"/>
    <x v="6"/>
    <x v="1247"/>
    <n v="3318"/>
    <x v="1"/>
    <x v="6"/>
  </r>
  <r>
    <x v="3489"/>
    <x v="3487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x v="250"/>
    <b v="1"/>
    <x v="6"/>
    <x v="2554"/>
    <n v="5317.5"/>
    <x v="1"/>
    <x v="6"/>
  </r>
  <r>
    <x v="3490"/>
    <x v="3488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x v="74"/>
    <b v="1"/>
    <x v="6"/>
    <x v="1901"/>
    <n v="1137.5"/>
    <x v="1"/>
    <x v="6"/>
  </r>
  <r>
    <x v="3491"/>
    <x v="3489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x v="73"/>
    <b v="1"/>
    <x v="6"/>
    <x v="2555"/>
    <n v="645.5"/>
    <x v="1"/>
    <x v="6"/>
  </r>
  <r>
    <x v="3492"/>
    <x v="3490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x v="2"/>
    <b v="1"/>
    <x v="6"/>
    <x v="2556"/>
    <n v="3900.1099999999997"/>
    <x v="1"/>
    <x v="6"/>
  </r>
  <r>
    <x v="3493"/>
    <x v="3491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x v="60"/>
    <b v="1"/>
    <x v="6"/>
    <x v="31"/>
    <n v="1500"/>
    <x v="1"/>
    <x v="6"/>
  </r>
  <r>
    <x v="3494"/>
    <x v="3492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x v="62"/>
    <b v="1"/>
    <x v="6"/>
    <x v="31"/>
    <n v="400"/>
    <x v="1"/>
    <x v="6"/>
  </r>
  <r>
    <x v="3495"/>
    <x v="3493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x v="250"/>
    <b v="1"/>
    <x v="6"/>
    <x v="2557"/>
    <n v="5171.5"/>
    <x v="1"/>
    <x v="6"/>
  </r>
  <r>
    <x v="3496"/>
    <x v="3494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x v="76"/>
    <b v="1"/>
    <x v="6"/>
    <x v="2558"/>
    <n v="3366"/>
    <x v="1"/>
    <x v="6"/>
  </r>
  <r>
    <x v="3497"/>
    <x v="3495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x v="72"/>
    <b v="1"/>
    <x v="6"/>
    <x v="2559"/>
    <n v="1618.5"/>
    <x v="1"/>
    <x v="6"/>
  </r>
  <r>
    <x v="3498"/>
    <x v="3496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x v="288"/>
    <b v="1"/>
    <x v="6"/>
    <x v="2560"/>
    <n v="1670"/>
    <x v="1"/>
    <x v="6"/>
  </r>
  <r>
    <x v="3499"/>
    <x v="3497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x v="2"/>
    <b v="1"/>
    <x v="6"/>
    <x v="269"/>
    <n v="2055"/>
    <x v="1"/>
    <x v="6"/>
  </r>
  <r>
    <x v="3500"/>
    <x v="3498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x v="288"/>
    <b v="1"/>
    <x v="6"/>
    <x v="2561"/>
    <n v="1031.5"/>
    <x v="1"/>
    <x v="6"/>
  </r>
  <r>
    <x v="3501"/>
    <x v="3499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x v="288"/>
    <b v="1"/>
    <x v="6"/>
    <x v="17"/>
    <n v="1505"/>
    <x v="1"/>
    <x v="6"/>
  </r>
  <r>
    <x v="3502"/>
    <x v="3500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x v="162"/>
    <b v="1"/>
    <x v="6"/>
    <x v="2562"/>
    <n v="4108"/>
    <x v="1"/>
    <x v="6"/>
  </r>
  <r>
    <x v="3503"/>
    <x v="3501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x v="44"/>
    <b v="1"/>
    <x v="6"/>
    <x v="2563"/>
    <n v="2594.5"/>
    <x v="1"/>
    <x v="6"/>
  </r>
  <r>
    <x v="3504"/>
    <x v="3502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x v="22"/>
    <b v="1"/>
    <x v="6"/>
    <x v="31"/>
    <n v="1000"/>
    <x v="1"/>
    <x v="6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x v="70"/>
    <b v="1"/>
    <x v="6"/>
    <x v="2564"/>
    <n v="2547"/>
    <x v="1"/>
    <x v="6"/>
  </r>
  <r>
    <x v="3506"/>
    <x v="3504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x v="60"/>
    <b v="1"/>
    <x v="6"/>
    <x v="1240"/>
    <n v="3022.5"/>
    <x v="1"/>
    <x v="6"/>
  </r>
  <r>
    <x v="3507"/>
    <x v="3505"/>
    <s v="Please help our troupe bring our first project from planning to reality! Join us on one exciting ride!"/>
    <n v="10000"/>
    <n v="10440"/>
    <x v="0"/>
    <x v="0"/>
    <x v="0"/>
    <n v="1464732537"/>
    <n v="1462140537"/>
    <b v="0"/>
    <x v="250"/>
    <b v="1"/>
    <x v="6"/>
    <x v="2565"/>
    <n v="10220"/>
    <x v="1"/>
    <x v="6"/>
  </r>
  <r>
    <x v="3508"/>
    <x v="3506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x v="41"/>
    <b v="1"/>
    <x v="6"/>
    <x v="2238"/>
    <n v="140"/>
    <x v="1"/>
    <x v="6"/>
  </r>
  <r>
    <x v="3509"/>
    <x v="3507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x v="51"/>
    <b v="1"/>
    <x v="6"/>
    <x v="2566"/>
    <n v="3095"/>
    <x v="1"/>
    <x v="6"/>
  </r>
  <r>
    <x v="3510"/>
    <x v="3508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x v="41"/>
    <b v="1"/>
    <x v="6"/>
    <x v="2567"/>
    <n v="902.5"/>
    <x v="1"/>
    <x v="6"/>
  </r>
  <r>
    <x v="3511"/>
    <x v="3509"/>
    <s v="The world premiere of the first full-length play by Eve Leigh, at the intimate Finborough Theatre in London."/>
    <n v="1500"/>
    <n v="1518"/>
    <x v="0"/>
    <x v="1"/>
    <x v="1"/>
    <n v="1415385000"/>
    <n v="1413406695"/>
    <b v="0"/>
    <x v="10"/>
    <b v="1"/>
    <x v="6"/>
    <x v="2568"/>
    <n v="1509"/>
    <x v="1"/>
    <x v="6"/>
  </r>
  <r>
    <x v="3512"/>
    <x v="3510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x v="57"/>
    <b v="1"/>
    <x v="6"/>
    <x v="31"/>
    <n v="1000"/>
    <x v="1"/>
    <x v="6"/>
  </r>
  <r>
    <x v="3513"/>
    <x v="3511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x v="34"/>
    <b v="1"/>
    <x v="6"/>
    <x v="2569"/>
    <n v="3057.5"/>
    <x v="1"/>
    <x v="6"/>
  </r>
  <r>
    <x v="3514"/>
    <x v="3512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x v="73"/>
    <b v="1"/>
    <x v="6"/>
    <x v="1007"/>
    <n v="525"/>
    <x v="1"/>
    <x v="6"/>
  </r>
  <r>
    <x v="3515"/>
    <x v="3513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x v="67"/>
    <b v="1"/>
    <x v="6"/>
    <x v="2570"/>
    <n v="3040"/>
    <x v="1"/>
    <x v="6"/>
  </r>
  <r>
    <x v="3516"/>
    <x v="3514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x v="202"/>
    <b v="1"/>
    <x v="6"/>
    <x v="31"/>
    <n v="2500"/>
    <x v="1"/>
    <x v="6"/>
  </r>
  <r>
    <x v="3517"/>
    <x v="3515"/>
    <s v="Support an outstanding cast of actors to take on a professional production of a masterpiece of modern theatre"/>
    <n v="4000"/>
    <n v="4000"/>
    <x v="0"/>
    <x v="1"/>
    <x v="1"/>
    <n v="1404471600"/>
    <n v="1401910634"/>
    <b v="0"/>
    <x v="62"/>
    <b v="1"/>
    <x v="6"/>
    <x v="31"/>
    <n v="4000"/>
    <x v="1"/>
    <x v="6"/>
  </r>
  <r>
    <x v="3518"/>
    <x v="3516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x v="51"/>
    <b v="1"/>
    <x v="6"/>
    <x v="2571"/>
    <n v="1575.345"/>
    <x v="1"/>
    <x v="6"/>
  </r>
  <r>
    <x v="3519"/>
    <x v="3517"/>
    <s v="Bookstory is a tiny puppet musical with some very big ideas that tells the story of the story in the digital age"/>
    <n v="2000"/>
    <n v="2027"/>
    <x v="0"/>
    <x v="1"/>
    <x v="1"/>
    <n v="1425478950"/>
    <n v="1422886950"/>
    <b v="0"/>
    <x v="33"/>
    <b v="1"/>
    <x v="6"/>
    <x v="40"/>
    <n v="2013.5"/>
    <x v="1"/>
    <x v="6"/>
  </r>
  <r>
    <x v="3520"/>
    <x v="3518"/>
    <s v="Help us to bring &quot;Protocols&quot; at the 2015 Camden Fringe. The most controversial play of the year."/>
    <n v="2000"/>
    <n v="2015"/>
    <x v="0"/>
    <x v="1"/>
    <x v="1"/>
    <n v="1441547220"/>
    <n v="1439322412"/>
    <b v="0"/>
    <x v="64"/>
    <b v="1"/>
    <x v="6"/>
    <x v="1266"/>
    <n v="2007.5"/>
    <x v="1"/>
    <x v="6"/>
  </r>
  <r>
    <x v="3521"/>
    <x v="3519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x v="62"/>
    <b v="1"/>
    <x v="6"/>
    <x v="2572"/>
    <n v="471.5"/>
    <x v="1"/>
    <x v="6"/>
  </r>
  <r>
    <x v="3522"/>
    <x v="3520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x v="69"/>
    <b v="1"/>
    <x v="6"/>
    <x v="31"/>
    <n v="1395"/>
    <x v="1"/>
    <x v="6"/>
  </r>
  <r>
    <x v="3523"/>
    <x v="3521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x v="144"/>
    <b v="1"/>
    <x v="6"/>
    <x v="2573"/>
    <n v="4273"/>
    <x v="1"/>
    <x v="6"/>
  </r>
  <r>
    <x v="3524"/>
    <x v="3522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x v="142"/>
    <b v="1"/>
    <x v="6"/>
    <x v="2574"/>
    <n v="10078"/>
    <x v="1"/>
    <x v="6"/>
  </r>
  <r>
    <x v="3525"/>
    <x v="3523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x v="63"/>
    <b v="1"/>
    <x v="6"/>
    <x v="938"/>
    <n v="515"/>
    <x v="1"/>
    <x v="6"/>
  </r>
  <r>
    <x v="3526"/>
    <x v="3524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x v="69"/>
    <b v="1"/>
    <x v="6"/>
    <x v="607"/>
    <n v="3333"/>
    <x v="1"/>
    <x v="6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x v="48"/>
    <b v="1"/>
    <x v="6"/>
    <x v="2575"/>
    <n v="6507.5"/>
    <x v="1"/>
    <x v="6"/>
  </r>
  <r>
    <x v="3528"/>
    <x v="3526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x v="77"/>
    <b v="1"/>
    <x v="6"/>
    <x v="2576"/>
    <n v="1659.5"/>
    <x v="1"/>
    <x v="6"/>
  </r>
  <r>
    <x v="3529"/>
    <x v="3527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x v="59"/>
    <b v="1"/>
    <x v="6"/>
    <x v="2577"/>
    <n v="580"/>
    <x v="1"/>
    <x v="6"/>
  </r>
  <r>
    <x v="3530"/>
    <x v="3528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x v="19"/>
    <b v="1"/>
    <x v="6"/>
    <x v="31"/>
    <n v="2750"/>
    <x v="1"/>
    <x v="6"/>
  </r>
  <r>
    <x v="3531"/>
    <x v="3529"/>
    <s v="A political comedy for a crazy election year"/>
    <n v="1000"/>
    <n v="1280"/>
    <x v="0"/>
    <x v="0"/>
    <x v="0"/>
    <n v="1467301334"/>
    <n v="1464709334"/>
    <b v="0"/>
    <x v="55"/>
    <b v="1"/>
    <x v="6"/>
    <x v="602"/>
    <n v="1140"/>
    <x v="1"/>
    <x v="6"/>
  </r>
  <r>
    <x v="3532"/>
    <x v="3530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x v="74"/>
    <b v="1"/>
    <x v="6"/>
    <x v="2578"/>
    <n v="1051"/>
    <x v="1"/>
    <x v="6"/>
  </r>
  <r>
    <x v="3533"/>
    <x v="3531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x v="22"/>
    <b v="1"/>
    <x v="6"/>
    <x v="2536"/>
    <n v="565.5"/>
    <x v="1"/>
    <x v="6"/>
  </r>
  <r>
    <x v="3534"/>
    <x v="3532"/>
    <s v="A Theatrical Prequel to Hell's Rebels, the current Pathfinder Adventure Path from Paizo Publishing"/>
    <n v="5000"/>
    <n v="7810"/>
    <x v="0"/>
    <x v="0"/>
    <x v="0"/>
    <n v="1443711623"/>
    <n v="1440687623"/>
    <b v="0"/>
    <x v="386"/>
    <b v="1"/>
    <x v="6"/>
    <x v="2579"/>
    <n v="6405"/>
    <x v="1"/>
    <x v="6"/>
  </r>
  <r>
    <x v="3535"/>
    <x v="3533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x v="67"/>
    <b v="1"/>
    <x v="6"/>
    <x v="2580"/>
    <n v="2031.5"/>
    <x v="1"/>
    <x v="6"/>
  </r>
  <r>
    <x v="3536"/>
    <x v="3534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x v="57"/>
    <b v="1"/>
    <x v="6"/>
    <x v="71"/>
    <n v="190"/>
    <x v="1"/>
    <x v="6"/>
  </r>
  <r>
    <x v="3537"/>
    <x v="3535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x v="33"/>
    <b v="1"/>
    <x v="6"/>
    <x v="2581"/>
    <n v="946.5"/>
    <x v="1"/>
    <x v="6"/>
  </r>
  <r>
    <x v="3538"/>
    <x v="3536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x v="183"/>
    <b v="1"/>
    <x v="6"/>
    <x v="2582"/>
    <n v="2284.5"/>
    <x v="1"/>
    <x v="6"/>
  </r>
  <r>
    <x v="3539"/>
    <x v="3537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x v="62"/>
    <b v="1"/>
    <x v="6"/>
    <x v="2583"/>
    <n v="659"/>
    <x v="1"/>
    <x v="6"/>
  </r>
  <r>
    <x v="3540"/>
    <x v="3538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x v="22"/>
    <b v="1"/>
    <x v="6"/>
    <x v="2584"/>
    <n v="334.5"/>
    <x v="1"/>
    <x v="6"/>
  </r>
  <r>
    <x v="3541"/>
    <x v="3539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x v="58"/>
    <b v="1"/>
    <x v="6"/>
    <x v="2"/>
    <n v="1230"/>
    <x v="1"/>
    <x v="6"/>
  </r>
  <r>
    <x v="3542"/>
    <x v="3540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x v="268"/>
    <b v="1"/>
    <x v="6"/>
    <x v="2585"/>
    <n v="5561.5"/>
    <x v="1"/>
    <x v="6"/>
  </r>
  <r>
    <x v="3543"/>
    <x v="3541"/>
    <s v="A circus theater show. An escaped carousel horse and a beautiful wire dancer let the fantasies run wild."/>
    <n v="1500"/>
    <n v="1570"/>
    <x v="0"/>
    <x v="12"/>
    <x v="3"/>
    <n v="1435255659"/>
    <n v="1432663659"/>
    <b v="0"/>
    <x v="60"/>
    <b v="1"/>
    <x v="6"/>
    <x v="436"/>
    <n v="1535"/>
    <x v="1"/>
    <x v="6"/>
  </r>
  <r>
    <x v="3544"/>
    <x v="3542"/>
    <s v="Death &amp; Pretzels presents the world premiere of Paul Pasulka's Gruoch, or Lady Macbeth"/>
    <n v="2500"/>
    <n v="2500"/>
    <x v="0"/>
    <x v="0"/>
    <x v="0"/>
    <n v="1425758257"/>
    <n v="1423166257"/>
    <b v="0"/>
    <x v="54"/>
    <b v="1"/>
    <x v="6"/>
    <x v="31"/>
    <n v="2500"/>
    <x v="1"/>
    <x v="6"/>
  </r>
  <r>
    <x v="3545"/>
    <x v="3543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x v="22"/>
    <b v="1"/>
    <x v="6"/>
    <x v="84"/>
    <n v="250.5"/>
    <x v="1"/>
    <x v="6"/>
  </r>
  <r>
    <x v="3546"/>
    <x v="3544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x v="10"/>
    <b v="1"/>
    <x v="6"/>
    <x v="2586"/>
    <n v="1112.5"/>
    <x v="1"/>
    <x v="6"/>
  </r>
  <r>
    <x v="3547"/>
    <x v="3545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x v="226"/>
    <b v="1"/>
    <x v="6"/>
    <x v="2587"/>
    <n v="37521.625"/>
    <x v="1"/>
    <x v="6"/>
  </r>
  <r>
    <x v="3548"/>
    <x v="3546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x v="62"/>
    <b v="1"/>
    <x v="6"/>
    <x v="2588"/>
    <n v="2120"/>
    <x v="1"/>
    <x v="6"/>
  </r>
  <r>
    <x v="3549"/>
    <x v="3547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x v="288"/>
    <b v="1"/>
    <x v="6"/>
    <x v="607"/>
    <n v="1010"/>
    <x v="1"/>
    <x v="6"/>
  </r>
  <r>
    <x v="3550"/>
    <x v="3548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x v="31"/>
    <b v="1"/>
    <x v="6"/>
    <x v="2131"/>
    <n v="2560"/>
    <x v="1"/>
    <x v="6"/>
  </r>
  <r>
    <x v="3551"/>
    <x v="3549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x v="20"/>
    <b v="1"/>
    <x v="6"/>
    <x v="2118"/>
    <n v="1513.75"/>
    <x v="1"/>
    <x v="6"/>
  </r>
  <r>
    <x v="3552"/>
    <x v="3550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x v="9"/>
    <b v="1"/>
    <x v="6"/>
    <x v="31"/>
    <n v="773"/>
    <x v="1"/>
    <x v="6"/>
  </r>
  <r>
    <x v="3553"/>
    <x v="3551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x v="201"/>
    <b v="1"/>
    <x v="6"/>
    <x v="2589"/>
    <n v="5672.5"/>
    <x v="1"/>
    <x v="6"/>
  </r>
  <r>
    <x v="3554"/>
    <x v="3552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x v="28"/>
    <b v="1"/>
    <x v="6"/>
    <x v="2590"/>
    <n v="5335.5550000000003"/>
    <x v="1"/>
    <x v="6"/>
  </r>
  <r>
    <x v="3555"/>
    <x v="3553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x v="25"/>
    <b v="1"/>
    <x v="6"/>
    <x v="31"/>
    <n v="2400"/>
    <x v="1"/>
    <x v="6"/>
  </r>
  <r>
    <x v="3556"/>
    <x v="3554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x v="9"/>
    <b v="1"/>
    <x v="6"/>
    <x v="2419"/>
    <n v="2205"/>
    <x v="1"/>
    <x v="6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x v="501"/>
    <b v="1"/>
    <x v="6"/>
    <x v="2591"/>
    <n v="100018"/>
    <x v="1"/>
    <x v="6"/>
  </r>
  <r>
    <x v="3558"/>
    <x v="3556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x v="19"/>
    <b v="1"/>
    <x v="6"/>
    <x v="2592"/>
    <n v="427"/>
    <x v="1"/>
    <x v="6"/>
  </r>
  <r>
    <x v="3559"/>
    <x v="3557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x v="54"/>
    <b v="1"/>
    <x v="6"/>
    <x v="991"/>
    <n v="1017.5"/>
    <x v="1"/>
    <x v="6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x v="142"/>
    <b v="1"/>
    <x v="6"/>
    <x v="2593"/>
    <n v="3335"/>
    <x v="1"/>
    <x v="6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x v="241"/>
    <b v="1"/>
    <x v="6"/>
    <x v="2122"/>
    <n v="2530"/>
    <x v="1"/>
    <x v="6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x v="162"/>
    <b v="1"/>
    <x v="6"/>
    <x v="2594"/>
    <n v="392"/>
    <x v="1"/>
    <x v="6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x v="20"/>
    <b v="1"/>
    <x v="6"/>
    <x v="2595"/>
    <n v="513.72500000000002"/>
    <x v="1"/>
    <x v="6"/>
  </r>
  <r>
    <x v="3564"/>
    <x v="3562"/>
    <s v="Multi Award-Winng play THE PILLOWMAN coming to the Arts Centre Theatre, Aberdeen"/>
    <n v="1000"/>
    <n v="1005"/>
    <x v="0"/>
    <x v="1"/>
    <x v="1"/>
    <n v="1444060800"/>
    <n v="1440082649"/>
    <b v="0"/>
    <x v="57"/>
    <b v="1"/>
    <x v="6"/>
    <x v="10"/>
    <n v="1002.5"/>
    <x v="1"/>
    <x v="6"/>
  </r>
  <r>
    <x v="3565"/>
    <x v="3563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x v="8"/>
    <b v="1"/>
    <x v="6"/>
    <x v="2596"/>
    <n v="1037.5"/>
    <x v="1"/>
    <x v="6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x v="44"/>
    <b v="1"/>
    <x v="6"/>
    <x v="2430"/>
    <n v="2047.5"/>
    <x v="1"/>
    <x v="6"/>
  </r>
  <r>
    <x v="3567"/>
    <x v="3565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x v="14"/>
    <b v="1"/>
    <x v="6"/>
    <x v="2597"/>
    <n v="1044"/>
    <x v="1"/>
    <x v="6"/>
  </r>
  <r>
    <x v="3568"/>
    <x v="3566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x v="10"/>
    <b v="1"/>
    <x v="6"/>
    <x v="2598"/>
    <n v="1055"/>
    <x v="1"/>
    <x v="6"/>
  </r>
  <r>
    <x v="3569"/>
    <x v="3567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x v="14"/>
    <b v="1"/>
    <x v="6"/>
    <x v="2599"/>
    <n v="5012"/>
    <x v="1"/>
    <x v="6"/>
  </r>
  <r>
    <x v="3570"/>
    <x v="3568"/>
    <s v="Theatre Machine presents an all-new adaptation of Maxim Gorky's classic of Russian theatre, The Lower Depths."/>
    <n v="2000"/>
    <n v="2287"/>
    <x v="0"/>
    <x v="0"/>
    <x v="0"/>
    <n v="1420009200"/>
    <n v="1417593483"/>
    <b v="0"/>
    <x v="55"/>
    <b v="1"/>
    <x v="6"/>
    <x v="2600"/>
    <n v="2143.5"/>
    <x v="1"/>
    <x v="6"/>
  </r>
  <r>
    <x v="3571"/>
    <x v="3569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x v="20"/>
    <b v="1"/>
    <x v="6"/>
    <x v="2601"/>
    <n v="1665.5"/>
    <x v="1"/>
    <x v="6"/>
  </r>
  <r>
    <x v="3572"/>
    <x v="3570"/>
    <s v="A darkly comic one woman show by Abram Rooney as part of The Camden Fringe 2015."/>
    <n v="500"/>
    <n v="500"/>
    <x v="0"/>
    <x v="1"/>
    <x v="1"/>
    <n v="1434894082"/>
    <n v="1432302082"/>
    <b v="0"/>
    <x v="82"/>
    <b v="1"/>
    <x v="6"/>
    <x v="31"/>
    <n v="500"/>
    <x v="1"/>
    <x v="6"/>
  </r>
  <r>
    <x v="3573"/>
    <x v="3571"/>
    <s v="London based theatre makers collaborating to create a new show about the history of HipHop."/>
    <n v="3000"/>
    <n v="3084"/>
    <x v="0"/>
    <x v="1"/>
    <x v="1"/>
    <n v="1415440846"/>
    <n v="1412845246"/>
    <b v="0"/>
    <x v="76"/>
    <b v="1"/>
    <x v="6"/>
    <x v="2602"/>
    <n v="3042"/>
    <x v="1"/>
    <x v="6"/>
  </r>
  <r>
    <x v="3574"/>
    <x v="3572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x v="43"/>
    <b v="1"/>
    <x v="6"/>
    <x v="2603"/>
    <n v="5977.5"/>
    <x v="1"/>
    <x v="6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x v="332"/>
    <b v="1"/>
    <x v="6"/>
    <x v="2604"/>
    <n v="10066.5"/>
    <x v="1"/>
    <x v="6"/>
  </r>
  <r>
    <x v="3576"/>
    <x v="3574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x v="81"/>
    <b v="1"/>
    <x v="6"/>
    <x v="31"/>
    <n v="100"/>
    <x v="1"/>
    <x v="6"/>
  </r>
  <r>
    <x v="3577"/>
    <x v="3575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x v="74"/>
    <b v="1"/>
    <x v="6"/>
    <x v="2129"/>
    <n v="690"/>
    <x v="1"/>
    <x v="6"/>
  </r>
  <r>
    <x v="3578"/>
    <x v="3576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x v="77"/>
    <b v="1"/>
    <x v="6"/>
    <x v="2605"/>
    <n v="1500.1"/>
    <x v="1"/>
    <x v="6"/>
  </r>
  <r>
    <x v="3579"/>
    <x v="3577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x v="25"/>
    <b v="1"/>
    <x v="6"/>
    <x v="31"/>
    <n v="500"/>
    <x v="1"/>
    <x v="6"/>
  </r>
  <r>
    <x v="3580"/>
    <x v="3578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x v="74"/>
    <b v="1"/>
    <x v="6"/>
    <x v="2606"/>
    <n v="962.5"/>
    <x v="1"/>
    <x v="6"/>
  </r>
  <r>
    <x v="3581"/>
    <x v="3579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x v="43"/>
    <b v="1"/>
    <x v="6"/>
    <x v="31"/>
    <n v="1500"/>
    <x v="1"/>
    <x v="6"/>
  </r>
  <r>
    <x v="3582"/>
    <x v="3580"/>
    <s v="A contemporary American play touching on the scorching realities of growing up in the Millennial generation."/>
    <n v="1000"/>
    <n v="2870"/>
    <x v="0"/>
    <x v="0"/>
    <x v="0"/>
    <n v="1459822682"/>
    <n v="1458613082"/>
    <b v="0"/>
    <x v="72"/>
    <b v="1"/>
    <x v="6"/>
    <x v="2607"/>
    <n v="1935"/>
    <x v="1"/>
    <x v="6"/>
  </r>
  <r>
    <x v="3583"/>
    <x v="3581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x v="54"/>
    <b v="1"/>
    <x v="6"/>
    <x v="2508"/>
    <n v="3127.5"/>
    <x v="1"/>
    <x v="6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x v="300"/>
    <b v="1"/>
    <x v="6"/>
    <x v="2113"/>
    <n v="3232.5"/>
    <x v="1"/>
    <x v="6"/>
  </r>
  <r>
    <x v="3585"/>
    <x v="3583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x v="23"/>
    <b v="1"/>
    <x v="6"/>
    <x v="2608"/>
    <n v="3725"/>
    <x v="1"/>
    <x v="6"/>
  </r>
  <r>
    <x v="3586"/>
    <x v="3584"/>
    <s v="See Theatre In A New Light"/>
    <n v="7500"/>
    <n v="8207"/>
    <x v="0"/>
    <x v="0"/>
    <x v="0"/>
    <n v="1474649070"/>
    <n v="1469465070"/>
    <b v="0"/>
    <x v="241"/>
    <b v="1"/>
    <x v="6"/>
    <x v="2609"/>
    <n v="7853.5"/>
    <x v="1"/>
    <x v="6"/>
  </r>
  <r>
    <x v="3587"/>
    <x v="3585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x v="33"/>
    <b v="1"/>
    <x v="6"/>
    <x v="2610"/>
    <n v="566.5"/>
    <x v="1"/>
    <x v="6"/>
  </r>
  <r>
    <x v="3588"/>
    <x v="3586"/>
    <s v="Touring the fast-paced, playful and poignant story of three twenty-somethings in a mental-health support group."/>
    <n v="200"/>
    <n v="201"/>
    <x v="0"/>
    <x v="1"/>
    <x v="1"/>
    <n v="1430348400"/>
    <n v="1428436410"/>
    <b v="0"/>
    <x v="202"/>
    <b v="1"/>
    <x v="6"/>
    <x v="10"/>
    <n v="200.5"/>
    <x v="1"/>
    <x v="6"/>
  </r>
  <r>
    <x v="3589"/>
    <x v="3587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x v="95"/>
    <b v="1"/>
    <x v="6"/>
    <x v="1901"/>
    <n v="4550"/>
    <x v="1"/>
    <x v="6"/>
  </r>
  <r>
    <x v="3590"/>
    <x v="3588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x v="196"/>
    <b v="1"/>
    <x v="6"/>
    <x v="2611"/>
    <n v="5001.5"/>
    <x v="1"/>
    <x v="6"/>
  </r>
  <r>
    <x v="3591"/>
    <x v="3589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x v="59"/>
    <b v="1"/>
    <x v="6"/>
    <x v="1290"/>
    <n v="962.5"/>
    <x v="1"/>
    <x v="6"/>
  </r>
  <r>
    <x v="3592"/>
    <x v="3590"/>
    <s v="Sex. Fish. A COMET THAT DESTROYS THE WORLD. boom a play by Peter Sinn Nachtrieb- Feb 19-21 at The Bridge in NYC."/>
    <n v="2000"/>
    <n v="2545"/>
    <x v="0"/>
    <x v="0"/>
    <x v="0"/>
    <n v="1423630740"/>
    <n v="1418673307"/>
    <b v="0"/>
    <x v="2"/>
    <b v="1"/>
    <x v="6"/>
    <x v="2612"/>
    <n v="2272.5"/>
    <x v="1"/>
    <x v="6"/>
  </r>
  <r>
    <x v="3593"/>
    <x v="3591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x v="68"/>
    <b v="1"/>
    <x v="6"/>
    <x v="2613"/>
    <n v="3159.5"/>
    <x v="1"/>
    <x v="6"/>
  </r>
  <r>
    <x v="3594"/>
    <x v="3592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x v="17"/>
    <b v="1"/>
    <x v="6"/>
    <x v="2614"/>
    <n v="1807.5"/>
    <x v="1"/>
    <x v="6"/>
  </r>
  <r>
    <x v="3595"/>
    <x v="3593"/>
    <s v="A new theatre company staging Will Eno's The Flu Season in Seattle"/>
    <n v="2600"/>
    <n v="3081"/>
    <x v="0"/>
    <x v="0"/>
    <x v="0"/>
    <n v="1426229940"/>
    <n v="1423959123"/>
    <b v="0"/>
    <x v="95"/>
    <b v="1"/>
    <x v="6"/>
    <x v="23"/>
    <n v="2840.5"/>
    <x v="1"/>
    <x v="6"/>
  </r>
  <r>
    <x v="3596"/>
    <x v="3594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x v="41"/>
    <b v="1"/>
    <x v="6"/>
    <x v="2615"/>
    <n v="1142.5"/>
    <x v="1"/>
    <x v="6"/>
  </r>
  <r>
    <x v="3597"/>
    <x v="3595"/>
    <s v="&quot;I think that I have my own will. I can stop this, I tell myself. But it's not true.&quot;"/>
    <n v="2500"/>
    <n v="2565"/>
    <x v="0"/>
    <x v="0"/>
    <x v="0"/>
    <n v="1456984740"/>
    <n v="1455717790"/>
    <b v="0"/>
    <x v="51"/>
    <b v="1"/>
    <x v="6"/>
    <x v="946"/>
    <n v="2532.5"/>
    <x v="1"/>
    <x v="6"/>
  </r>
  <r>
    <x v="3598"/>
    <x v="3596"/>
    <s v="River City Theatre Company needs your support as we embark on our thirteenth production, CINDERELLA!"/>
    <n v="1000"/>
    <n v="1101"/>
    <x v="0"/>
    <x v="0"/>
    <x v="0"/>
    <n v="1409720340"/>
    <n v="1408129822"/>
    <b v="0"/>
    <x v="74"/>
    <b v="1"/>
    <x v="6"/>
    <x v="2616"/>
    <n v="1050.5"/>
    <x v="1"/>
    <x v="6"/>
  </r>
  <r>
    <x v="3599"/>
    <x v="3597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x v="57"/>
    <b v="1"/>
    <x v="6"/>
    <x v="2539"/>
    <n v="755"/>
    <x v="1"/>
    <x v="6"/>
  </r>
  <r>
    <x v="3600"/>
    <x v="3598"/>
    <s v="The First Play From The Man Who Brought You The Black James Bond!"/>
    <n v="10"/>
    <n v="13"/>
    <x v="0"/>
    <x v="0"/>
    <x v="0"/>
    <n v="1476390164"/>
    <n v="1473970964"/>
    <b v="0"/>
    <x v="80"/>
    <b v="1"/>
    <x v="6"/>
    <x v="2129"/>
    <n v="11.5"/>
    <x v="1"/>
    <x v="6"/>
  </r>
  <r>
    <x v="3601"/>
    <x v="3599"/>
    <s v="New play 'Pink Confetti' by Paul Roberts at The Courtyard Theatre produced by Etch and directed by Oliver Dawe."/>
    <n v="2000"/>
    <n v="2087"/>
    <x v="0"/>
    <x v="1"/>
    <x v="1"/>
    <n v="1421452682"/>
    <n v="1418860682"/>
    <b v="0"/>
    <x v="28"/>
    <b v="1"/>
    <x v="6"/>
    <x v="2469"/>
    <n v="2043.5"/>
    <x v="1"/>
    <x v="6"/>
  </r>
  <r>
    <x v="3602"/>
    <x v="3600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x v="72"/>
    <b v="1"/>
    <x v="6"/>
    <x v="2383"/>
    <n v="4001"/>
    <x v="1"/>
    <x v="6"/>
  </r>
  <r>
    <x v="3603"/>
    <x v="3601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x v="7"/>
    <b v="1"/>
    <x v="6"/>
    <x v="2617"/>
    <n v="2030"/>
    <x v="1"/>
    <x v="6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x v="50"/>
    <b v="1"/>
    <x v="6"/>
    <x v="2618"/>
    <n v="3192.5"/>
    <x v="1"/>
    <x v="6"/>
  </r>
  <r>
    <x v="3605"/>
    <x v="3603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x v="41"/>
    <b v="1"/>
    <x v="6"/>
    <x v="2498"/>
    <n v="355"/>
    <x v="1"/>
    <x v="6"/>
  </r>
  <r>
    <x v="3606"/>
    <x v="3604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x v="31"/>
    <b v="1"/>
    <x v="6"/>
    <x v="2619"/>
    <n v="3454"/>
    <x v="1"/>
    <x v="6"/>
  </r>
  <r>
    <x v="3607"/>
    <x v="3605"/>
    <s v="'E15' is a verbatim project that looks at the story of the Focus E15 Campaign"/>
    <n v="550"/>
    <n v="580"/>
    <x v="0"/>
    <x v="1"/>
    <x v="1"/>
    <n v="1450137600"/>
    <n v="1448924882"/>
    <b v="0"/>
    <x v="9"/>
    <b v="1"/>
    <x v="6"/>
    <x v="2620"/>
    <n v="565"/>
    <x v="1"/>
    <x v="6"/>
  </r>
  <r>
    <x v="3608"/>
    <x v="3606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x v="74"/>
    <b v="1"/>
    <x v="6"/>
    <x v="31"/>
    <n v="800"/>
    <x v="1"/>
    <x v="6"/>
  </r>
  <r>
    <x v="3609"/>
    <x v="3607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x v="64"/>
    <b v="1"/>
    <x v="6"/>
    <x v="2621"/>
    <n v="2482.5"/>
    <x v="1"/>
    <x v="6"/>
  </r>
  <r>
    <x v="3610"/>
    <x v="3608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x v="162"/>
    <b v="1"/>
    <x v="6"/>
    <x v="2622"/>
    <n v="1311.5"/>
    <x v="1"/>
    <x v="6"/>
  </r>
  <r>
    <x v="3611"/>
    <x v="3609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x v="13"/>
    <b v="1"/>
    <x v="6"/>
    <x v="1627"/>
    <n v="2950"/>
    <x v="1"/>
    <x v="6"/>
  </r>
  <r>
    <x v="3612"/>
    <x v="3610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x v="7"/>
    <b v="1"/>
    <x v="6"/>
    <x v="2623"/>
    <n v="6110"/>
    <x v="1"/>
    <x v="6"/>
  </r>
  <r>
    <x v="3613"/>
    <x v="3611"/>
    <s v="a woman walks into a bar except she looks like a man and no one's serving drinks. one night only"/>
    <n v="1250"/>
    <n v="1250"/>
    <x v="0"/>
    <x v="0"/>
    <x v="0"/>
    <n v="1403964574"/>
    <n v="1401372574"/>
    <b v="0"/>
    <x v="9"/>
    <b v="1"/>
    <x v="6"/>
    <x v="31"/>
    <n v="1250"/>
    <x v="1"/>
    <x v="6"/>
  </r>
  <r>
    <x v="3614"/>
    <x v="3438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x v="26"/>
    <b v="1"/>
    <x v="6"/>
    <x v="2624"/>
    <n v="2510"/>
    <x v="1"/>
    <x v="6"/>
  </r>
  <r>
    <x v="3615"/>
    <x v="3612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x v="250"/>
    <b v="1"/>
    <x v="6"/>
    <x v="2020"/>
    <n v="2585"/>
    <x v="1"/>
    <x v="6"/>
  </r>
  <r>
    <x v="3616"/>
    <x v="3613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x v="43"/>
    <b v="1"/>
    <x v="6"/>
    <x v="2387"/>
    <n v="2810"/>
    <x v="1"/>
    <x v="6"/>
  </r>
  <r>
    <x v="3617"/>
    <x v="3614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x v="13"/>
    <b v="1"/>
    <x v="6"/>
    <x v="2625"/>
    <n v="810"/>
    <x v="1"/>
    <x v="6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x v="66"/>
    <b v="1"/>
    <x v="6"/>
    <x v="50"/>
    <n v="2010"/>
    <x v="1"/>
    <x v="6"/>
  </r>
  <r>
    <x v="3619"/>
    <x v="3616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x v="57"/>
    <b v="1"/>
    <x v="6"/>
    <x v="1246"/>
    <n v="1065"/>
    <x v="1"/>
    <x v="6"/>
  </r>
  <r>
    <x v="3620"/>
    <x v="3617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x v="438"/>
    <b v="1"/>
    <x v="6"/>
    <x v="2626"/>
    <n v="10772.5"/>
    <x v="1"/>
    <x v="6"/>
  </r>
  <r>
    <x v="3621"/>
    <x v="3618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x v="16"/>
    <b v="1"/>
    <x v="6"/>
    <x v="2627"/>
    <n v="3146"/>
    <x v="1"/>
    <x v="6"/>
  </r>
  <r>
    <x v="3622"/>
    <x v="3619"/>
    <s v="5 actors. 39 characters. 1 epic adventure. Presented by the Cradle Theatre Company."/>
    <n v="1000"/>
    <n v="1000.99"/>
    <x v="0"/>
    <x v="0"/>
    <x v="0"/>
    <n v="1411874580"/>
    <n v="1409030371"/>
    <b v="0"/>
    <x v="64"/>
    <b v="1"/>
    <x v="6"/>
    <x v="2628"/>
    <n v="1000.495"/>
    <x v="1"/>
    <x v="6"/>
  </r>
  <r>
    <x v="3623"/>
    <x v="3620"/>
    <s v="An original play exploring the complications of romantic relationships in all forms."/>
    <n v="2500"/>
    <n v="3000"/>
    <x v="0"/>
    <x v="0"/>
    <x v="0"/>
    <n v="1406358000"/>
    <n v="1404841270"/>
    <b v="0"/>
    <x v="69"/>
    <b v="1"/>
    <x v="6"/>
    <x v="43"/>
    <n v="2750"/>
    <x v="1"/>
    <x v="6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x v="70"/>
    <b v="1"/>
    <x v="6"/>
    <x v="2629"/>
    <n v="3074"/>
    <x v="1"/>
    <x v="6"/>
  </r>
  <r>
    <x v="3625"/>
    <x v="3622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x v="76"/>
    <b v="1"/>
    <x v="6"/>
    <x v="2570"/>
    <n v="3040"/>
    <x v="1"/>
    <x v="6"/>
  </r>
  <r>
    <x v="3626"/>
    <x v="3623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x v="53"/>
    <b v="1"/>
    <x v="6"/>
    <x v="2412"/>
    <n v="4036.5"/>
    <x v="1"/>
    <x v="6"/>
  </r>
  <r>
    <x v="3627"/>
    <x v="3624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x v="60"/>
    <b v="1"/>
    <x v="6"/>
    <x v="31"/>
    <n v="2000"/>
    <x v="1"/>
    <x v="6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x v="78"/>
    <b v="0"/>
    <x v="40"/>
    <x v="109"/>
    <n v="50000"/>
    <x v="9"/>
    <x v="41"/>
  </r>
  <r>
    <x v="3629"/>
    <x v="3626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x v="84"/>
    <b v="0"/>
    <x v="40"/>
    <x v="2630"/>
    <n v="500001"/>
    <x v="9"/>
    <x v="41"/>
  </r>
  <r>
    <x v="3630"/>
    <x v="3627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x v="29"/>
    <b v="0"/>
    <x v="40"/>
    <x v="108"/>
    <n v="1500.5"/>
    <x v="9"/>
    <x v="41"/>
  </r>
  <r>
    <x v="3631"/>
    <x v="3628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x v="211"/>
    <b v="0"/>
    <x v="40"/>
    <x v="2631"/>
    <n v="12912.5"/>
    <x v="9"/>
    <x v="41"/>
  </r>
  <r>
    <x v="3632"/>
    <x v="3629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x v="29"/>
    <b v="0"/>
    <x v="40"/>
    <x v="143"/>
    <n v="300"/>
    <x v="9"/>
    <x v="41"/>
  </r>
  <r>
    <x v="3633"/>
    <x v="3630"/>
    <s v="SMOKEY AND THE BANDIT: THE MUSICAL_x000a_The classic film, characters and music you love, on stage, LIVE!"/>
    <n v="5000"/>
    <n v="1762"/>
    <x v="2"/>
    <x v="0"/>
    <x v="0"/>
    <n v="1479517200"/>
    <n v="1475765867"/>
    <b v="0"/>
    <x v="162"/>
    <b v="0"/>
    <x v="40"/>
    <x v="2632"/>
    <n v="3381"/>
    <x v="9"/>
    <x v="41"/>
  </r>
  <r>
    <x v="3634"/>
    <x v="3631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x v="59"/>
    <b v="0"/>
    <x v="40"/>
    <x v="2633"/>
    <n v="39092.5"/>
    <x v="9"/>
    <x v="41"/>
  </r>
  <r>
    <x v="3635"/>
    <x v="3632"/>
    <s v="Mary's Son is a pop opera about Jesus and the hope he brings to all people."/>
    <n v="3500"/>
    <n v="1276"/>
    <x v="2"/>
    <x v="0"/>
    <x v="0"/>
    <n v="1461186676"/>
    <n v="1458594676"/>
    <b v="0"/>
    <x v="73"/>
    <b v="0"/>
    <x v="40"/>
    <x v="2634"/>
    <n v="2388"/>
    <x v="9"/>
    <x v="41"/>
  </r>
  <r>
    <x v="3636"/>
    <x v="3633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x v="78"/>
    <b v="0"/>
    <x v="40"/>
    <x v="109"/>
    <n v="75000"/>
    <x v="9"/>
    <x v="41"/>
  </r>
  <r>
    <x v="3637"/>
    <x v="3634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x v="25"/>
    <b v="0"/>
    <x v="40"/>
    <x v="2635"/>
    <n v="1963"/>
    <x v="9"/>
    <x v="41"/>
  </r>
  <r>
    <x v="3638"/>
    <x v="3635"/>
    <s v="A rock and roll journey that explores love, loss, redemption, duality and ascension."/>
    <n v="3300"/>
    <n v="216"/>
    <x v="2"/>
    <x v="5"/>
    <x v="5"/>
    <n v="1429456132"/>
    <n v="1424275732"/>
    <b v="0"/>
    <x v="84"/>
    <b v="0"/>
    <x v="40"/>
    <x v="2636"/>
    <n v="1758"/>
    <x v="9"/>
    <x v="41"/>
  </r>
  <r>
    <x v="3639"/>
    <x v="3636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x v="29"/>
    <b v="0"/>
    <x v="40"/>
    <x v="524"/>
    <n v="12500.5"/>
    <x v="9"/>
    <x v="41"/>
  </r>
  <r>
    <x v="3640"/>
    <x v="3637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x v="83"/>
    <b v="0"/>
    <x v="40"/>
    <x v="148"/>
    <n v="527.5"/>
    <x v="9"/>
    <x v="41"/>
  </r>
  <r>
    <x v="3641"/>
    <x v="3638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x v="78"/>
    <b v="0"/>
    <x v="40"/>
    <x v="109"/>
    <n v="1500"/>
    <x v="9"/>
    <x v="41"/>
  </r>
  <r>
    <x v="3642"/>
    <x v="3639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x v="84"/>
    <b v="0"/>
    <x v="40"/>
    <x v="2637"/>
    <n v="357.5"/>
    <x v="9"/>
    <x v="41"/>
  </r>
  <r>
    <x v="3643"/>
    <x v="3640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x v="78"/>
    <b v="0"/>
    <x v="40"/>
    <x v="109"/>
    <n v="12500"/>
    <x v="9"/>
    <x v="41"/>
  </r>
  <r>
    <x v="3644"/>
    <x v="3641"/>
    <s v="We are the Saugerties High School drama club. Please help us create our musical to keep theater alive!"/>
    <n v="5000"/>
    <n v="821"/>
    <x v="2"/>
    <x v="0"/>
    <x v="0"/>
    <n v="1457413140"/>
    <n v="1454996887"/>
    <b v="0"/>
    <x v="8"/>
    <b v="0"/>
    <x v="40"/>
    <x v="2638"/>
    <n v="2910.5"/>
    <x v="9"/>
    <x v="41"/>
  </r>
  <r>
    <x v="3645"/>
    <x v="3642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x v="29"/>
    <b v="0"/>
    <x v="40"/>
    <x v="370"/>
    <n v="500.5"/>
    <x v="9"/>
    <x v="41"/>
  </r>
  <r>
    <x v="3646"/>
    <x v="3643"/>
    <s v="Develop demo materials for new, true story of teen Revolutionary War heroes - for hybrid film/live stage musical"/>
    <n v="10000"/>
    <n v="481"/>
    <x v="2"/>
    <x v="0"/>
    <x v="0"/>
    <n v="1434497400"/>
    <n v="1431770802"/>
    <b v="0"/>
    <x v="22"/>
    <b v="0"/>
    <x v="40"/>
    <x v="2639"/>
    <n v="5240.5"/>
    <x v="9"/>
    <x v="41"/>
  </r>
  <r>
    <x v="3647"/>
    <x v="3644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x v="84"/>
    <b v="0"/>
    <x v="40"/>
    <x v="733"/>
    <n v="265"/>
    <x v="9"/>
    <x v="41"/>
  </r>
  <r>
    <x v="3648"/>
    <x v="3645"/>
    <s v="Help Moth Live! Support Moth and its artist collective to achieve its 2014/15 season."/>
    <n v="40000"/>
    <n v="40153"/>
    <x v="0"/>
    <x v="0"/>
    <x v="0"/>
    <n v="1412492445"/>
    <n v="1409900445"/>
    <b v="0"/>
    <x v="196"/>
    <b v="1"/>
    <x v="6"/>
    <x v="2640"/>
    <n v="40076.5"/>
    <x v="1"/>
    <x v="6"/>
  </r>
  <r>
    <x v="3649"/>
    <x v="3646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x v="22"/>
    <b v="1"/>
    <x v="6"/>
    <x v="87"/>
    <n v="765"/>
    <x v="1"/>
    <x v="6"/>
  </r>
  <r>
    <x v="3650"/>
    <x v="3647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x v="57"/>
    <b v="1"/>
    <x v="6"/>
    <x v="31"/>
    <n v="500"/>
    <x v="1"/>
    <x v="6"/>
  </r>
  <r>
    <x v="3651"/>
    <x v="3648"/>
    <s v="A Chicago staged reading of Jim Cartwright's 1992 play-with-music, &quot;The Rise and Fall of Little Voice.&quot;"/>
    <n v="500"/>
    <n v="520"/>
    <x v="0"/>
    <x v="0"/>
    <x v="0"/>
    <n v="1407686340"/>
    <n v="1404833442"/>
    <b v="0"/>
    <x v="82"/>
    <b v="1"/>
    <x v="6"/>
    <x v="87"/>
    <n v="510"/>
    <x v="1"/>
    <x v="6"/>
  </r>
  <r>
    <x v="3652"/>
    <x v="2866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x v="57"/>
    <b v="1"/>
    <x v="6"/>
    <x v="2641"/>
    <n v="526"/>
    <x v="1"/>
    <x v="6"/>
  </r>
  <r>
    <x v="3653"/>
    <x v="3649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x v="51"/>
    <b v="1"/>
    <x v="6"/>
    <x v="10"/>
    <n v="2005"/>
    <x v="1"/>
    <x v="6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x v="44"/>
    <b v="1"/>
    <x v="6"/>
    <x v="2642"/>
    <n v="2058"/>
    <x v="1"/>
    <x v="6"/>
  </r>
  <r>
    <x v="3655"/>
    <x v="3651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x v="1"/>
    <b v="1"/>
    <x v="6"/>
    <x v="2643"/>
    <n v="5406.5"/>
    <x v="1"/>
    <x v="6"/>
  </r>
  <r>
    <x v="3656"/>
    <x v="3652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x v="67"/>
    <b v="1"/>
    <x v="6"/>
    <x v="2644"/>
    <n v="5145.5"/>
    <x v="1"/>
    <x v="6"/>
  </r>
  <r>
    <x v="3657"/>
    <x v="3653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x v="9"/>
    <b v="1"/>
    <x v="6"/>
    <x v="2645"/>
    <n v="2107.5"/>
    <x v="1"/>
    <x v="6"/>
  </r>
  <r>
    <x v="3658"/>
    <x v="3654"/>
    <s v="Life is hard when your own imaginary friend can't make time for you."/>
    <n v="1500"/>
    <n v="1510"/>
    <x v="0"/>
    <x v="0"/>
    <x v="0"/>
    <n v="1404273540"/>
    <n v="1400272580"/>
    <b v="0"/>
    <x v="9"/>
    <b v="1"/>
    <x v="6"/>
    <x v="17"/>
    <n v="1505"/>
    <x v="1"/>
    <x v="6"/>
  </r>
  <r>
    <x v="3659"/>
    <x v="3655"/>
    <s v="We want you to analyze while we dramatize if people who romanticize can recognize true love in a disguise."/>
    <n v="3000"/>
    <n v="3061"/>
    <x v="0"/>
    <x v="0"/>
    <x v="0"/>
    <n v="1426775940"/>
    <n v="1424414350"/>
    <b v="0"/>
    <x v="62"/>
    <b v="1"/>
    <x v="6"/>
    <x v="2389"/>
    <n v="3030.5"/>
    <x v="1"/>
    <x v="6"/>
  </r>
  <r>
    <x v="3660"/>
    <x v="3656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x v="19"/>
    <b v="1"/>
    <x v="6"/>
    <x v="31"/>
    <n v="250"/>
    <x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x v="17"/>
    <b v="1"/>
    <x v="6"/>
    <x v="2598"/>
    <n v="3165"/>
    <x v="1"/>
    <x v="6"/>
  </r>
  <r>
    <x v="3662"/>
    <x v="3658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x v="244"/>
    <b v="1"/>
    <x v="6"/>
    <x v="2646"/>
    <n v="8057"/>
    <x v="1"/>
    <x v="6"/>
  </r>
  <r>
    <x v="3663"/>
    <x v="3659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x v="82"/>
    <b v="1"/>
    <x v="6"/>
    <x v="87"/>
    <n v="229.5"/>
    <x v="1"/>
    <x v="6"/>
  </r>
  <r>
    <x v="3664"/>
    <x v="3660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x v="10"/>
    <b v="1"/>
    <x v="6"/>
    <x v="2647"/>
    <n v="837.5"/>
    <x v="1"/>
    <x v="6"/>
  </r>
  <r>
    <x v="3665"/>
    <x v="3661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x v="25"/>
    <b v="1"/>
    <x v="6"/>
    <x v="2648"/>
    <n v="667"/>
    <x v="1"/>
    <x v="6"/>
  </r>
  <r>
    <x v="3666"/>
    <x v="3662"/>
    <s v="Artistic Internship @ Ojai Playwrights Conference"/>
    <n v="1200"/>
    <n v="1200"/>
    <x v="0"/>
    <x v="0"/>
    <x v="0"/>
    <n v="1406185200"/>
    <n v="1404337382"/>
    <b v="0"/>
    <x v="44"/>
    <b v="1"/>
    <x v="6"/>
    <x v="31"/>
    <n v="1200"/>
    <x v="1"/>
    <x v="6"/>
  </r>
  <r>
    <x v="3667"/>
    <x v="3663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x v="6"/>
    <b v="1"/>
    <x v="6"/>
    <x v="2649"/>
    <n v="3047.5550000000003"/>
    <x v="1"/>
    <x v="6"/>
  </r>
  <r>
    <x v="3668"/>
    <x v="3664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x v="33"/>
    <b v="1"/>
    <x v="6"/>
    <x v="991"/>
    <n v="1017.5"/>
    <x v="1"/>
    <x v="6"/>
  </r>
  <r>
    <x v="3669"/>
    <x v="3665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x v="57"/>
    <b v="1"/>
    <x v="6"/>
    <x v="2650"/>
    <n v="1191"/>
    <x v="1"/>
    <x v="6"/>
  </r>
  <r>
    <x v="3670"/>
    <x v="3666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x v="8"/>
    <b v="1"/>
    <x v="6"/>
    <x v="2651"/>
    <n v="230.5"/>
    <x v="1"/>
    <x v="6"/>
  </r>
  <r>
    <x v="3671"/>
    <x v="3667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x v="244"/>
    <b v="1"/>
    <x v="6"/>
    <x v="2652"/>
    <n v="3515"/>
    <x v="1"/>
    <x v="6"/>
  </r>
  <r>
    <x v="3672"/>
    <x v="3668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x v="7"/>
    <b v="1"/>
    <x v="6"/>
    <x v="1400"/>
    <n v="3023"/>
    <x v="1"/>
    <x v="6"/>
  </r>
  <r>
    <x v="3673"/>
    <x v="3669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x v="229"/>
    <b v="1"/>
    <x v="6"/>
    <x v="2653"/>
    <n v="4272.5"/>
    <x v="1"/>
    <x v="6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x v="162"/>
    <b v="1"/>
    <x v="6"/>
    <x v="31"/>
    <n v="4500"/>
    <x v="1"/>
    <x v="6"/>
  </r>
  <r>
    <x v="3675"/>
    <x v="3671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x v="83"/>
    <b v="1"/>
    <x v="6"/>
    <x v="2515"/>
    <n v="60"/>
    <x v="1"/>
    <x v="6"/>
  </r>
  <r>
    <x v="3676"/>
    <x v="3672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x v="38"/>
    <b v="1"/>
    <x v="6"/>
    <x v="2654"/>
    <n v="915"/>
    <x v="1"/>
    <x v="6"/>
  </r>
  <r>
    <x v="3677"/>
    <x v="3673"/>
    <s v="Goldfish Memory Productions seeks at least $12,000 to begin their first 3 professional projects."/>
    <n v="12000"/>
    <n v="12348.5"/>
    <x v="0"/>
    <x v="0"/>
    <x v="0"/>
    <n v="1404359940"/>
    <n v="1402580818"/>
    <b v="0"/>
    <x v="473"/>
    <b v="1"/>
    <x v="6"/>
    <x v="2655"/>
    <n v="12174.25"/>
    <x v="1"/>
    <x v="6"/>
  </r>
  <r>
    <x v="3678"/>
    <x v="3674"/>
    <s v="The Ugly Collective takes Some big Some bang to the Underbelly Venues at the Edinburgh Fringe!"/>
    <n v="2000"/>
    <n v="2050"/>
    <x v="0"/>
    <x v="1"/>
    <x v="1"/>
    <n v="1433076298"/>
    <n v="1430052298"/>
    <b v="0"/>
    <x v="162"/>
    <b v="1"/>
    <x v="6"/>
    <x v="78"/>
    <n v="2025"/>
    <x v="1"/>
    <x v="6"/>
  </r>
  <r>
    <x v="3679"/>
    <x v="3675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x v="209"/>
    <b v="1"/>
    <x v="6"/>
    <x v="2616"/>
    <n v="2101"/>
    <x v="1"/>
    <x v="6"/>
  </r>
  <r>
    <x v="3680"/>
    <x v="3676"/>
    <s v="In The Dudleys! family memories are brought to life as a malfunctioning 8-bit video game. Press Start."/>
    <n v="3000"/>
    <n v="3383"/>
    <x v="0"/>
    <x v="0"/>
    <x v="0"/>
    <n v="1475664834"/>
    <n v="1473850434"/>
    <b v="0"/>
    <x v="69"/>
    <b v="1"/>
    <x v="6"/>
    <x v="2656"/>
    <n v="3191.5"/>
    <x v="1"/>
    <x v="6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x v="59"/>
    <b v="1"/>
    <x v="6"/>
    <x v="2657"/>
    <n v="1059.5"/>
    <x v="1"/>
    <x v="6"/>
  </r>
  <r>
    <x v="3682"/>
    <x v="3678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x v="85"/>
    <b v="1"/>
    <x v="6"/>
    <x v="2658"/>
    <n v="3588"/>
    <x v="1"/>
    <x v="6"/>
  </r>
  <r>
    <x v="3683"/>
    <x v="3679"/>
    <s v="A Krumpus Story is a dark holiday comedy for anyone who wants a little more spice in their holiday fare."/>
    <n v="3500"/>
    <n v="3880"/>
    <x v="0"/>
    <x v="0"/>
    <x v="0"/>
    <n v="1476931696"/>
    <n v="1474339696"/>
    <b v="0"/>
    <x v="36"/>
    <b v="1"/>
    <x v="6"/>
    <x v="2659"/>
    <n v="3690"/>
    <x v="1"/>
    <x v="6"/>
  </r>
  <r>
    <x v="3684"/>
    <x v="3680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x v="23"/>
    <b v="1"/>
    <x v="6"/>
    <x v="2660"/>
    <n v="896.5"/>
    <x v="1"/>
    <x v="6"/>
  </r>
  <r>
    <x v="3685"/>
    <x v="3681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x v="149"/>
    <b v="1"/>
    <x v="6"/>
    <x v="2661"/>
    <n v="5142.5"/>
    <x v="1"/>
    <x v="6"/>
  </r>
  <r>
    <x v="3686"/>
    <x v="3682"/>
    <s v="This October, in association with Rogue Productions at FSU, I will be directing a production of Dog sees God."/>
    <n v="350"/>
    <n v="355"/>
    <x v="0"/>
    <x v="0"/>
    <x v="0"/>
    <n v="1440820740"/>
    <n v="1439567660"/>
    <b v="0"/>
    <x v="79"/>
    <b v="1"/>
    <x v="6"/>
    <x v="2662"/>
    <n v="352.5"/>
    <x v="1"/>
    <x v="6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x v="20"/>
    <b v="1"/>
    <x v="6"/>
    <x v="2663"/>
    <n v="5006.125"/>
    <x v="1"/>
    <x v="6"/>
  </r>
  <r>
    <x v="3688"/>
    <x v="368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x v="70"/>
    <b v="1"/>
    <x v="6"/>
    <x v="2217"/>
    <n v="3137.5"/>
    <x v="1"/>
    <x v="6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x v="95"/>
    <b v="1"/>
    <x v="6"/>
    <x v="1237"/>
    <n v="3275"/>
    <x v="1"/>
    <x v="6"/>
  </r>
  <r>
    <x v="3690"/>
    <x v="3686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x v="162"/>
    <b v="1"/>
    <x v="6"/>
    <x v="43"/>
    <n v="1650"/>
    <x v="1"/>
    <x v="6"/>
  </r>
  <r>
    <x v="3691"/>
    <x v="3687"/>
    <s v="World Premiere of last play written by Amiri Baraka"/>
    <n v="40000"/>
    <n v="51184"/>
    <x v="0"/>
    <x v="0"/>
    <x v="0"/>
    <n v="1425272340"/>
    <n v="1421426929"/>
    <b v="0"/>
    <x v="220"/>
    <b v="1"/>
    <x v="6"/>
    <x v="2664"/>
    <n v="45592"/>
    <x v="1"/>
    <x v="6"/>
  </r>
  <r>
    <x v="3692"/>
    <x v="3688"/>
    <s v="Help us independently produce two great comedies by Christopher Durang."/>
    <n v="1000"/>
    <n v="1260"/>
    <x v="0"/>
    <x v="0"/>
    <x v="0"/>
    <n v="1411084800"/>
    <n v="1410304179"/>
    <b v="0"/>
    <x v="57"/>
    <b v="1"/>
    <x v="6"/>
    <x v="582"/>
    <n v="1130"/>
    <x v="1"/>
    <x v="6"/>
  </r>
  <r>
    <x v="3693"/>
    <x v="3689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x v="25"/>
    <b v="1"/>
    <x v="6"/>
    <x v="2665"/>
    <n v="381.5"/>
    <x v="1"/>
    <x v="6"/>
  </r>
  <r>
    <x v="3694"/>
    <x v="3690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x v="65"/>
    <b v="1"/>
    <x v="6"/>
    <x v="2666"/>
    <n v="3630"/>
    <x v="1"/>
    <x v="6"/>
  </r>
  <r>
    <x v="3695"/>
    <x v="3691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x v="51"/>
    <b v="1"/>
    <x v="6"/>
    <x v="2213"/>
    <n v="4002.5"/>
    <x v="1"/>
    <x v="6"/>
  </r>
  <r>
    <x v="3696"/>
    <x v="3692"/>
    <s v="We are 10 years old - please help us celebrate the last 10 years and secure our future for the next 10 years."/>
    <n v="2000"/>
    <n v="3100"/>
    <x v="0"/>
    <x v="1"/>
    <x v="1"/>
    <n v="1423838916"/>
    <n v="1418654916"/>
    <b v="0"/>
    <x v="76"/>
    <b v="1"/>
    <x v="6"/>
    <x v="1342"/>
    <n v="2550"/>
    <x v="1"/>
    <x v="6"/>
  </r>
  <r>
    <x v="3697"/>
    <x v="3693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x v="209"/>
    <b v="1"/>
    <x v="6"/>
    <x v="1277"/>
    <n v="2080"/>
    <x v="1"/>
    <x v="6"/>
  </r>
  <r>
    <x v="3698"/>
    <x v="3694"/>
    <s v="Two great political plays, separated in authorship by four hundred years but united in their urgency."/>
    <n v="5000"/>
    <n v="5526"/>
    <x v="0"/>
    <x v="0"/>
    <x v="0"/>
    <n v="1456946487"/>
    <n v="1454354487"/>
    <b v="0"/>
    <x v="327"/>
    <b v="1"/>
    <x v="6"/>
    <x v="2667"/>
    <n v="5263"/>
    <x v="1"/>
    <x v="6"/>
  </r>
  <r>
    <x v="3699"/>
    <x v="3695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x v="244"/>
    <b v="1"/>
    <x v="6"/>
    <x v="2624"/>
    <n v="2510"/>
    <x v="1"/>
    <x v="6"/>
  </r>
  <r>
    <x v="3700"/>
    <x v="3696"/>
    <s v="Help me produce the play I have written for my senior project!"/>
    <n v="500"/>
    <n v="606"/>
    <x v="0"/>
    <x v="0"/>
    <x v="0"/>
    <n v="1412092800"/>
    <n v="1409493800"/>
    <b v="0"/>
    <x v="59"/>
    <b v="1"/>
    <x v="6"/>
    <x v="1247"/>
    <n v="553"/>
    <x v="1"/>
    <x v="6"/>
  </r>
  <r>
    <x v="3701"/>
    <x v="3697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x v="70"/>
    <b v="1"/>
    <x v="6"/>
    <x v="1415"/>
    <n v="1502.5"/>
    <x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x v="64"/>
    <b v="1"/>
    <x v="6"/>
    <x v="2217"/>
    <n v="3137.5"/>
    <x v="1"/>
    <x v="6"/>
  </r>
  <r>
    <x v="3703"/>
    <x v="3699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x v="209"/>
    <b v="1"/>
    <x v="6"/>
    <x v="2668"/>
    <n v="1173"/>
    <x v="1"/>
    <x v="6"/>
  </r>
  <r>
    <x v="3704"/>
    <x v="3700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x v="74"/>
    <b v="1"/>
    <x v="6"/>
    <x v="2669"/>
    <n v="354.505"/>
    <x v="1"/>
    <x v="6"/>
  </r>
  <r>
    <x v="3705"/>
    <x v="3701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x v="2"/>
    <b v="1"/>
    <x v="6"/>
    <x v="2670"/>
    <n v="2876"/>
    <x v="1"/>
    <x v="6"/>
  </r>
  <r>
    <x v="3706"/>
    <x v="3702"/>
    <s v="Our original dramatic adaption of this Mozart opera is staged to create visually stunning fun with live music."/>
    <n v="1500"/>
    <n v="1820"/>
    <x v="0"/>
    <x v="0"/>
    <x v="0"/>
    <n v="1410558949"/>
    <n v="1409262949"/>
    <b v="0"/>
    <x v="62"/>
    <b v="1"/>
    <x v="6"/>
    <x v="2671"/>
    <n v="1660"/>
    <x v="1"/>
    <x v="6"/>
  </r>
  <r>
    <x v="3707"/>
    <x v="3703"/>
    <s v="Support this collection of new plays by Kansas City writers and the artists who are bringing it to life!"/>
    <n v="1000"/>
    <n v="1860"/>
    <x v="0"/>
    <x v="0"/>
    <x v="0"/>
    <n v="1469165160"/>
    <n v="1467335378"/>
    <b v="0"/>
    <x v="23"/>
    <b v="1"/>
    <x v="6"/>
    <x v="2672"/>
    <n v="1430"/>
    <x v="1"/>
    <x v="6"/>
  </r>
  <r>
    <x v="3708"/>
    <x v="3704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x v="70"/>
    <b v="1"/>
    <x v="6"/>
    <x v="2673"/>
    <n v="1400"/>
    <x v="1"/>
    <x v="6"/>
  </r>
  <r>
    <x v="3709"/>
    <x v="3705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x v="2"/>
    <b v="1"/>
    <x v="6"/>
    <x v="2674"/>
    <n v="1041.25"/>
    <x v="1"/>
    <x v="6"/>
  </r>
  <r>
    <x v="3710"/>
    <x v="3706"/>
    <s v="A comedy about, life, death, men, women, and the power of a good Kegel."/>
    <n v="1300"/>
    <n v="1835"/>
    <x v="0"/>
    <x v="0"/>
    <x v="0"/>
    <n v="1428068988"/>
    <n v="1425908988"/>
    <b v="0"/>
    <x v="74"/>
    <b v="1"/>
    <x v="6"/>
    <x v="2675"/>
    <n v="1567.5"/>
    <x v="1"/>
    <x v="6"/>
  </r>
  <r>
    <x v="3711"/>
    <x v="3707"/>
    <s v="Two teachers and twenty kids bring one of Shakespeare's plays to life!"/>
    <n v="500"/>
    <n v="570"/>
    <x v="0"/>
    <x v="0"/>
    <x v="0"/>
    <n v="1402848000"/>
    <n v="1400606573"/>
    <b v="0"/>
    <x v="64"/>
    <b v="1"/>
    <x v="6"/>
    <x v="430"/>
    <n v="535"/>
    <x v="1"/>
    <x v="6"/>
  </r>
  <r>
    <x v="3712"/>
    <x v="3708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x v="201"/>
    <b v="1"/>
    <x v="6"/>
    <x v="2676"/>
    <n v="9515"/>
    <x v="1"/>
    <x v="6"/>
  </r>
  <r>
    <x v="3713"/>
    <x v="3709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x v="10"/>
    <b v="1"/>
    <x v="6"/>
    <x v="1240"/>
    <n v="2015"/>
    <x v="1"/>
    <x v="6"/>
  </r>
  <r>
    <x v="3714"/>
    <x v="3710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x v="174"/>
    <b v="1"/>
    <x v="6"/>
    <x v="1099"/>
    <n v="10117.5"/>
    <x v="1"/>
    <x v="6"/>
  </r>
  <r>
    <x v="3715"/>
    <x v="3711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x v="74"/>
    <b v="1"/>
    <x v="6"/>
    <x v="2677"/>
    <n v="3545"/>
    <x v="1"/>
    <x v="6"/>
  </r>
  <r>
    <x v="3716"/>
    <x v="3712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x v="54"/>
    <b v="1"/>
    <x v="6"/>
    <x v="2678"/>
    <n v="1023"/>
    <x v="1"/>
    <x v="6"/>
  </r>
  <r>
    <x v="3717"/>
    <x v="3713"/>
    <s v="A heart-warming comedy by award-winning writer about Love, Sex, Friendship of three old gay men in their 60s'!"/>
    <n v="4000"/>
    <n v="4030"/>
    <x v="0"/>
    <x v="1"/>
    <x v="1"/>
    <n v="1431204449"/>
    <n v="1428526049"/>
    <b v="0"/>
    <x v="62"/>
    <b v="1"/>
    <x v="6"/>
    <x v="1266"/>
    <n v="4015"/>
    <x v="1"/>
    <x v="6"/>
  </r>
  <r>
    <x v="3718"/>
    <x v="3714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x v="67"/>
    <b v="1"/>
    <x v="6"/>
    <x v="2679"/>
    <n v="848.5"/>
    <x v="1"/>
    <x v="6"/>
  </r>
  <r>
    <x v="3719"/>
    <x v="3715"/>
    <s v="A new piece of physical theatre about love, regret and longing."/>
    <n v="200"/>
    <n v="420"/>
    <x v="0"/>
    <x v="1"/>
    <x v="1"/>
    <n v="1434994266"/>
    <n v="1432402266"/>
    <b v="0"/>
    <x v="80"/>
    <b v="1"/>
    <x v="6"/>
    <x v="2680"/>
    <n v="310"/>
    <x v="1"/>
    <x v="6"/>
  </r>
  <r>
    <x v="3720"/>
    <x v="3716"/>
    <s v="Breaking the American Indian stereotype in the American Theatre."/>
    <n v="3300"/>
    <n v="3449"/>
    <x v="0"/>
    <x v="0"/>
    <x v="0"/>
    <n v="1435881006"/>
    <n v="1433980206"/>
    <b v="0"/>
    <x v="244"/>
    <b v="1"/>
    <x v="6"/>
    <x v="2681"/>
    <n v="3374.5"/>
    <x v="1"/>
    <x v="6"/>
  </r>
  <r>
    <x v="3721"/>
    <x v="3717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x v="34"/>
    <b v="1"/>
    <x v="6"/>
    <x v="2624"/>
    <n v="5020"/>
    <x v="1"/>
    <x v="6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x v="2"/>
    <b v="1"/>
    <x v="6"/>
    <x v="2682"/>
    <n v="1584"/>
    <x v="1"/>
    <x v="6"/>
  </r>
  <r>
    <x v="3723"/>
    <x v="3719"/>
    <s v="Saltmine Theatre Company present Beauty and the Beast:"/>
    <n v="4500"/>
    <n v="4592"/>
    <x v="0"/>
    <x v="1"/>
    <x v="1"/>
    <n v="1417374262"/>
    <n v="1414778662"/>
    <b v="0"/>
    <x v="287"/>
    <b v="1"/>
    <x v="6"/>
    <x v="2683"/>
    <n v="4546"/>
    <x v="1"/>
    <x v="6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x v="30"/>
    <b v="1"/>
    <x v="6"/>
    <x v="2684"/>
    <n v="4354.7749999999996"/>
    <x v="1"/>
    <x v="6"/>
  </r>
  <r>
    <x v="3725"/>
    <x v="3721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x v="41"/>
    <b v="1"/>
    <x v="6"/>
    <x v="74"/>
    <n v="340.5"/>
    <x v="1"/>
    <x v="6"/>
  </r>
  <r>
    <x v="3726"/>
    <x v="3722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x v="67"/>
    <b v="1"/>
    <x v="6"/>
    <x v="2685"/>
    <n v="1864.5"/>
    <x v="1"/>
    <x v="6"/>
  </r>
  <r>
    <x v="3727"/>
    <x v="3723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x v="51"/>
    <b v="1"/>
    <x v="6"/>
    <x v="1266"/>
    <n v="2007.5"/>
    <x v="1"/>
    <x v="6"/>
  </r>
  <r>
    <x v="3728"/>
    <x v="3724"/>
    <s v="Bare Bones Shakespeare's first season will start with a DFW school touring show: Romeo and Juliet."/>
    <n v="20000"/>
    <n v="1862"/>
    <x v="2"/>
    <x v="0"/>
    <x v="0"/>
    <n v="1439957176"/>
    <n v="1437365176"/>
    <b v="0"/>
    <x v="162"/>
    <b v="0"/>
    <x v="6"/>
    <x v="2686"/>
    <n v="10931"/>
    <x v="1"/>
    <x v="6"/>
  </r>
  <r>
    <x v="3729"/>
    <x v="3725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x v="81"/>
    <b v="0"/>
    <x v="6"/>
    <x v="2687"/>
    <n v="2681"/>
    <x v="1"/>
    <x v="6"/>
  </r>
  <r>
    <x v="3730"/>
    <x v="3726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x v="29"/>
    <b v="0"/>
    <x v="6"/>
    <x v="709"/>
    <n v="550"/>
    <x v="1"/>
    <x v="6"/>
  </r>
  <r>
    <x v="3731"/>
    <x v="3727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x v="8"/>
    <b v="0"/>
    <x v="6"/>
    <x v="2688"/>
    <n v="3060"/>
    <x v="1"/>
    <x v="6"/>
  </r>
  <r>
    <x v="3732"/>
    <x v="3728"/>
    <s v="Mijn solo voorstelling gaat over Elektra (Sophokles) en hoe zij als jongere alles beleeft en meemaakt!"/>
    <n v="850"/>
    <n v="131"/>
    <x v="2"/>
    <x v="9"/>
    <x v="3"/>
    <n v="1422100800"/>
    <n v="1416932133"/>
    <b v="0"/>
    <x v="80"/>
    <b v="0"/>
    <x v="6"/>
    <x v="2689"/>
    <n v="490.5"/>
    <x v="1"/>
    <x v="6"/>
  </r>
  <r>
    <x v="3733"/>
    <x v="3729"/>
    <s v="want to donate tickets to residents who live in the community that cant afford the 35.00 price of ticket"/>
    <n v="1500"/>
    <n v="0"/>
    <x v="2"/>
    <x v="0"/>
    <x v="0"/>
    <n v="1429396200"/>
    <n v="1428539708"/>
    <b v="0"/>
    <x v="78"/>
    <b v="0"/>
    <x v="6"/>
    <x v="109"/>
    <n v="750"/>
    <x v="1"/>
    <x v="6"/>
  </r>
  <r>
    <x v="3734"/>
    <x v="3730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x v="63"/>
    <b v="0"/>
    <x v="6"/>
    <x v="2690"/>
    <n v="963.5"/>
    <x v="1"/>
    <x v="6"/>
  </r>
  <r>
    <x v="3735"/>
    <x v="3731"/>
    <s v="Young Actor's taking on a Jacobean tragedy. Family, betrayal, love, lust, sex and death."/>
    <n v="150"/>
    <n v="20"/>
    <x v="2"/>
    <x v="1"/>
    <x v="1"/>
    <n v="1432831089"/>
    <n v="1430239089"/>
    <b v="0"/>
    <x v="84"/>
    <b v="0"/>
    <x v="6"/>
    <x v="2691"/>
    <n v="85"/>
    <x v="1"/>
    <x v="6"/>
  </r>
  <r>
    <x v="3736"/>
    <x v="3732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x v="29"/>
    <b v="0"/>
    <x v="6"/>
    <x v="886"/>
    <n v="755"/>
    <x v="1"/>
    <x v="6"/>
  </r>
  <r>
    <x v="3737"/>
    <x v="3476"/>
    <s v="The ASU Theatre and Shakespeare Club presents Measure For Measure directed by Jordyn Ochser."/>
    <n v="700"/>
    <n v="150"/>
    <x v="2"/>
    <x v="0"/>
    <x v="0"/>
    <n v="1447311540"/>
    <n v="1445358903"/>
    <b v="0"/>
    <x v="80"/>
    <b v="0"/>
    <x v="6"/>
    <x v="2692"/>
    <n v="425"/>
    <x v="1"/>
    <x v="6"/>
  </r>
  <r>
    <x v="3738"/>
    <x v="3733"/>
    <s v="A filmic, fast-paced exploration of trust, making its debut at Camden People's Theatre this July."/>
    <n v="1500"/>
    <n v="270"/>
    <x v="2"/>
    <x v="1"/>
    <x v="1"/>
    <n v="1405461600"/>
    <n v="1403562705"/>
    <b v="0"/>
    <x v="79"/>
    <b v="0"/>
    <x v="6"/>
    <x v="2693"/>
    <n v="885"/>
    <x v="1"/>
    <x v="6"/>
  </r>
  <r>
    <x v="3739"/>
    <x v="3734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x v="22"/>
    <b v="0"/>
    <x v="6"/>
    <x v="2694"/>
    <n v="2402.5"/>
    <x v="1"/>
    <x v="6"/>
  </r>
  <r>
    <x v="3740"/>
    <x v="3735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x v="25"/>
    <b v="0"/>
    <x v="6"/>
    <x v="2695"/>
    <n v="1179"/>
    <x v="1"/>
    <x v="6"/>
  </r>
  <r>
    <x v="3741"/>
    <x v="3736"/>
    <s v="A small community with a love for theater would like to continue. Help the children of this community continue."/>
    <n v="20000"/>
    <n v="0"/>
    <x v="2"/>
    <x v="0"/>
    <x v="0"/>
    <n v="1450389950"/>
    <n v="1447797950"/>
    <b v="0"/>
    <x v="78"/>
    <b v="0"/>
    <x v="6"/>
    <x v="109"/>
    <n v="10000"/>
    <x v="1"/>
    <x v="6"/>
  </r>
  <r>
    <x v="3742"/>
    <x v="3737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x v="80"/>
    <b v="0"/>
    <x v="6"/>
    <x v="172"/>
    <n v="2550"/>
    <x v="1"/>
    <x v="6"/>
  </r>
  <r>
    <x v="3743"/>
    <x v="3738"/>
    <s v="I'm taking the Adventures of Huckleberry Finn puppet show down the Mississippi River!"/>
    <n v="2200"/>
    <n v="0"/>
    <x v="2"/>
    <x v="0"/>
    <x v="0"/>
    <n v="1404406964"/>
    <n v="1401814964"/>
    <b v="0"/>
    <x v="78"/>
    <b v="0"/>
    <x v="6"/>
    <x v="109"/>
    <n v="1100"/>
    <x v="1"/>
    <x v="6"/>
  </r>
  <r>
    <x v="3744"/>
    <x v="3739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x v="78"/>
    <b v="0"/>
    <x v="6"/>
    <x v="109"/>
    <n v="600"/>
    <x v="1"/>
    <x v="6"/>
  </r>
  <r>
    <x v="3745"/>
    <x v="3740"/>
    <s v="Tyke wants to expand her puppet theater show to weekly online web shows and is looking for backers."/>
    <n v="100"/>
    <n v="10"/>
    <x v="2"/>
    <x v="0"/>
    <x v="0"/>
    <n v="1407689102"/>
    <n v="1405097102"/>
    <b v="0"/>
    <x v="29"/>
    <b v="0"/>
    <x v="6"/>
    <x v="709"/>
    <n v="55"/>
    <x v="1"/>
    <x v="6"/>
  </r>
  <r>
    <x v="3746"/>
    <x v="3741"/>
    <s v="Generational curses CAN be broken...right?"/>
    <n v="8500"/>
    <n v="202"/>
    <x v="2"/>
    <x v="0"/>
    <x v="0"/>
    <n v="1475918439"/>
    <n v="1473326439"/>
    <b v="0"/>
    <x v="29"/>
    <b v="0"/>
    <x v="6"/>
    <x v="2696"/>
    <n v="4351"/>
    <x v="1"/>
    <x v="6"/>
  </r>
  <r>
    <x v="3747"/>
    <x v="3742"/>
    <s v="The world premiere of an astonishing new play by acclaimed writer Atiha Sen Gupta."/>
    <n v="2500"/>
    <n v="25"/>
    <x v="2"/>
    <x v="1"/>
    <x v="1"/>
    <n v="1436137140"/>
    <n v="1433833896"/>
    <b v="0"/>
    <x v="29"/>
    <b v="0"/>
    <x v="6"/>
    <x v="460"/>
    <n v="1262.5"/>
    <x v="1"/>
    <x v="6"/>
  </r>
  <r>
    <x v="3748"/>
    <x v="3743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x v="47"/>
    <b v="1"/>
    <x v="40"/>
    <x v="2697"/>
    <n v="5088"/>
    <x v="1"/>
    <x v="40"/>
  </r>
  <r>
    <x v="3749"/>
    <x v="3744"/>
    <s v="A night of music, fellowship, and a reflection of my experiences over the past 4 years at Ball State University."/>
    <n v="500"/>
    <n v="525"/>
    <x v="0"/>
    <x v="0"/>
    <x v="0"/>
    <n v="1461902340"/>
    <n v="1459220588"/>
    <b v="0"/>
    <x v="63"/>
    <b v="1"/>
    <x v="40"/>
    <x v="2"/>
    <n v="512.5"/>
    <x v="1"/>
    <x v="4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x v="33"/>
    <b v="1"/>
    <x v="40"/>
    <x v="1004"/>
    <n v="6013.5"/>
    <x v="1"/>
    <x v="40"/>
  </r>
  <r>
    <x v="3751"/>
    <x v="3746"/>
    <s v="I will be performing in TWO productions to kick off the 2016 season. NEED HELP TO FUND THESE GREAT SHOWS!"/>
    <n v="1000"/>
    <n v="1326"/>
    <x v="0"/>
    <x v="0"/>
    <x v="0"/>
    <n v="1459641073"/>
    <n v="1454460673"/>
    <b v="0"/>
    <x v="202"/>
    <b v="1"/>
    <x v="40"/>
    <x v="2698"/>
    <n v="1163"/>
    <x v="1"/>
    <x v="40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x v="41"/>
    <b v="1"/>
    <x v="40"/>
    <x v="1246"/>
    <n v="532.5"/>
    <x v="1"/>
    <x v="40"/>
  </r>
  <r>
    <x v="3753"/>
    <x v="3748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x v="209"/>
    <b v="1"/>
    <x v="40"/>
    <x v="2699"/>
    <n v="5083.5"/>
    <x v="1"/>
    <x v="40"/>
  </r>
  <r>
    <x v="3754"/>
    <x v="3749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x v="74"/>
    <b v="1"/>
    <x v="40"/>
    <x v="43"/>
    <n v="2750"/>
    <x v="1"/>
    <x v="40"/>
  </r>
  <r>
    <x v="3755"/>
    <x v="3750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x v="33"/>
    <b v="1"/>
    <x v="40"/>
    <x v="2700"/>
    <n v="631.5"/>
    <x v="1"/>
    <x v="40"/>
  </r>
  <r>
    <x v="3756"/>
    <x v="3751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x v="57"/>
    <b v="1"/>
    <x v="40"/>
    <x v="2701"/>
    <n v="4525"/>
    <x v="1"/>
    <x v="40"/>
  </r>
  <r>
    <x v="3757"/>
    <x v="3752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x v="133"/>
    <b v="1"/>
    <x v="40"/>
    <x v="2702"/>
    <n v="3649"/>
    <x v="1"/>
    <x v="40"/>
  </r>
  <r>
    <x v="3758"/>
    <x v="3753"/>
    <s v="LUIGI'S LADIES: an original one-woman musical comedy"/>
    <n v="1500"/>
    <n v="1535"/>
    <x v="0"/>
    <x v="0"/>
    <x v="0"/>
    <n v="1400475600"/>
    <n v="1397819938"/>
    <b v="0"/>
    <x v="55"/>
    <b v="1"/>
    <x v="40"/>
    <x v="2703"/>
    <n v="1517.5"/>
    <x v="1"/>
    <x v="40"/>
  </r>
  <r>
    <x v="3759"/>
    <x v="3754"/>
    <s v="A production company specializing in small-scale musicals"/>
    <n v="4000"/>
    <n v="4409.7700000000004"/>
    <x v="0"/>
    <x v="0"/>
    <x v="0"/>
    <n v="1440556553"/>
    <n v="1435372553"/>
    <b v="0"/>
    <x v="106"/>
    <b v="1"/>
    <x v="40"/>
    <x v="2704"/>
    <n v="4204.8850000000002"/>
    <x v="1"/>
    <x v="40"/>
  </r>
  <r>
    <x v="3760"/>
    <x v="3755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x v="110"/>
    <b v="1"/>
    <x v="40"/>
    <x v="2705"/>
    <n v="5025.3850000000002"/>
    <x v="1"/>
    <x v="40"/>
  </r>
  <r>
    <x v="3761"/>
    <x v="3756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x v="83"/>
    <b v="1"/>
    <x v="40"/>
    <x v="31"/>
    <n v="500"/>
    <x v="1"/>
    <x v="40"/>
  </r>
  <r>
    <x v="3762"/>
    <x v="3757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x v="33"/>
    <b v="1"/>
    <x v="40"/>
    <x v="2706"/>
    <n v="1289"/>
    <x v="1"/>
    <x v="40"/>
  </r>
  <r>
    <x v="3763"/>
    <x v="3758"/>
    <s v="A musical about two guys writing a musical about...two guys writing a musical."/>
    <n v="5000"/>
    <n v="5000"/>
    <x v="0"/>
    <x v="0"/>
    <x v="0"/>
    <n v="1427907626"/>
    <n v="1425319226"/>
    <b v="0"/>
    <x v="99"/>
    <b v="1"/>
    <x v="40"/>
    <x v="31"/>
    <n v="5000"/>
    <x v="1"/>
    <x v="40"/>
  </r>
  <r>
    <x v="3764"/>
    <x v="3759"/>
    <s v="Talented, hard-working performers for Into the Woods JR need your help in renting microphones for our show!"/>
    <n v="1500"/>
    <n v="1500"/>
    <x v="0"/>
    <x v="0"/>
    <x v="0"/>
    <n v="1464482160"/>
    <n v="1462824832"/>
    <b v="0"/>
    <x v="74"/>
    <b v="1"/>
    <x v="40"/>
    <x v="31"/>
    <n v="1500"/>
    <x v="1"/>
    <x v="40"/>
  </r>
  <r>
    <x v="3765"/>
    <x v="3760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x v="329"/>
    <b v="1"/>
    <x v="40"/>
    <x v="2707"/>
    <n v="7471"/>
    <x v="1"/>
    <x v="40"/>
  </r>
  <r>
    <x v="3766"/>
    <x v="3761"/>
    <s v="Trapped on a stalled New York subway, seven strangers realize it's not just the train that's stuck."/>
    <n v="10000"/>
    <n v="10265.01"/>
    <x v="0"/>
    <x v="0"/>
    <x v="0"/>
    <n v="1404360045"/>
    <n v="1401336045"/>
    <b v="0"/>
    <x v="93"/>
    <b v="1"/>
    <x v="40"/>
    <x v="2708"/>
    <n v="10132.505000000001"/>
    <x v="1"/>
    <x v="40"/>
  </r>
  <r>
    <x v="3767"/>
    <x v="3762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x v="66"/>
    <b v="1"/>
    <x v="40"/>
    <x v="2709"/>
    <n v="2167.5"/>
    <x v="1"/>
    <x v="4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x v="6"/>
    <b v="1"/>
    <x v="40"/>
    <x v="2710"/>
    <n v="4153.0550000000003"/>
    <x v="1"/>
    <x v="40"/>
  </r>
  <r>
    <x v="3769"/>
    <x v="3764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x v="41"/>
    <b v="1"/>
    <x v="40"/>
    <x v="31"/>
    <n v="1100"/>
    <x v="1"/>
    <x v="40"/>
  </r>
  <r>
    <x v="3770"/>
    <x v="3765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x v="9"/>
    <b v="1"/>
    <x v="40"/>
    <x v="31"/>
    <n v="2000"/>
    <x v="1"/>
    <x v="40"/>
  </r>
  <r>
    <x v="3771"/>
    <x v="3766"/>
    <s v="I would like to make a demo recording of six songs from COME OUT SWINGIN'!"/>
    <n v="1000"/>
    <n v="1460"/>
    <x v="0"/>
    <x v="0"/>
    <x v="0"/>
    <n v="1463529600"/>
    <n v="1462307652"/>
    <b v="0"/>
    <x v="44"/>
    <b v="1"/>
    <x v="40"/>
    <x v="2711"/>
    <n v="1230"/>
    <x v="1"/>
    <x v="40"/>
  </r>
  <r>
    <x v="3772"/>
    <x v="3767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x v="51"/>
    <b v="1"/>
    <x v="40"/>
    <x v="1097"/>
    <n v="5255"/>
    <x v="1"/>
    <x v="40"/>
  </r>
  <r>
    <x v="3773"/>
    <x v="3768"/>
    <s v="A dramatic hip-hopera, inspired from monologues written by the performers."/>
    <n v="5000"/>
    <n v="5410"/>
    <x v="0"/>
    <x v="0"/>
    <x v="0"/>
    <n v="1479175680"/>
    <n v="1476317247"/>
    <b v="0"/>
    <x v="7"/>
    <b v="1"/>
    <x v="40"/>
    <x v="2123"/>
    <n v="5205"/>
    <x v="1"/>
    <x v="40"/>
  </r>
  <r>
    <x v="3774"/>
    <x v="3769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x v="20"/>
    <b v="1"/>
    <x v="40"/>
    <x v="31"/>
    <n v="2500"/>
    <x v="1"/>
    <x v="40"/>
  </r>
  <r>
    <x v="3775"/>
    <x v="3770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x v="25"/>
    <b v="1"/>
    <x v="40"/>
    <x v="598"/>
    <n v="2002.5"/>
    <x v="1"/>
    <x v="4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x v="225"/>
    <b v="1"/>
    <x v="40"/>
    <x v="2712"/>
    <n v="8268.5"/>
    <x v="1"/>
    <x v="40"/>
  </r>
  <r>
    <x v="3777"/>
    <x v="3772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x v="211"/>
    <b v="1"/>
    <x v="40"/>
    <x v="2713"/>
    <n v="2432"/>
    <x v="1"/>
    <x v="40"/>
  </r>
  <r>
    <x v="3778"/>
    <x v="3773"/>
    <s v="Sponsor an AVENUE Q puppet for The Barn Players April 2015 production."/>
    <n v="2400"/>
    <n v="2521"/>
    <x v="0"/>
    <x v="0"/>
    <x v="0"/>
    <n v="1423942780"/>
    <n v="1418758780"/>
    <b v="0"/>
    <x v="17"/>
    <b v="1"/>
    <x v="40"/>
    <x v="2714"/>
    <n v="2460.5"/>
    <x v="1"/>
    <x v="40"/>
  </r>
  <r>
    <x v="3779"/>
    <x v="3774"/>
    <s v="A fresh, re-telling of the Jesus story for a new generation."/>
    <n v="15000"/>
    <n v="15597"/>
    <x v="0"/>
    <x v="0"/>
    <x v="0"/>
    <n v="1459010340"/>
    <n v="1456421940"/>
    <b v="0"/>
    <x v="248"/>
    <b v="1"/>
    <x v="40"/>
    <x v="2715"/>
    <n v="15298.5"/>
    <x v="1"/>
    <x v="40"/>
  </r>
  <r>
    <x v="3780"/>
    <x v="3775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x v="209"/>
    <b v="1"/>
    <x v="40"/>
    <x v="43"/>
    <n v="2750"/>
    <x v="1"/>
    <x v="40"/>
  </r>
  <r>
    <x v="3781"/>
    <x v="3776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x v="47"/>
    <b v="1"/>
    <x v="40"/>
    <x v="2716"/>
    <n v="4717.5"/>
    <x v="1"/>
    <x v="40"/>
  </r>
  <r>
    <x v="3782"/>
    <x v="3777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x v="74"/>
    <b v="1"/>
    <x v="40"/>
    <x v="1409"/>
    <n v="2017.5"/>
    <x v="1"/>
    <x v="40"/>
  </r>
  <r>
    <x v="3783"/>
    <x v="3778"/>
    <s v="Help fund Doro &amp; Diega's journey to the Orlando Fringe 2016. A brand new choose-your-own adventure musical!"/>
    <n v="1200"/>
    <n v="1547"/>
    <x v="0"/>
    <x v="0"/>
    <x v="0"/>
    <n v="1458057600"/>
    <n v="1455938520"/>
    <b v="0"/>
    <x v="54"/>
    <b v="1"/>
    <x v="40"/>
    <x v="2717"/>
    <n v="1373.5"/>
    <x v="1"/>
    <x v="40"/>
  </r>
  <r>
    <x v="3784"/>
    <x v="3779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x v="73"/>
    <b v="1"/>
    <x v="40"/>
    <x v="935"/>
    <n v="1075"/>
    <x v="1"/>
    <x v="40"/>
  </r>
  <r>
    <x v="3785"/>
    <x v="3780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x v="209"/>
    <b v="1"/>
    <x v="40"/>
    <x v="2718"/>
    <n v="2507.5"/>
    <x v="1"/>
    <x v="40"/>
  </r>
  <r>
    <x v="3786"/>
    <x v="3781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x v="26"/>
    <b v="1"/>
    <x v="40"/>
    <x v="2719"/>
    <n v="6329"/>
    <x v="1"/>
    <x v="40"/>
  </r>
  <r>
    <x v="3787"/>
    <x v="3782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x v="73"/>
    <b v="1"/>
    <x v="40"/>
    <x v="2720"/>
    <n v="350.5"/>
    <x v="1"/>
    <x v="40"/>
  </r>
  <r>
    <x v="3788"/>
    <x v="3783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x v="29"/>
    <b v="0"/>
    <x v="40"/>
    <x v="886"/>
    <n v="37750"/>
    <x v="1"/>
    <x v="40"/>
  </r>
  <r>
    <x v="3789"/>
    <x v="3784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x v="80"/>
    <b v="0"/>
    <x v="40"/>
    <x v="2721"/>
    <n v="1833"/>
    <x v="1"/>
    <x v="40"/>
  </r>
  <r>
    <x v="3790"/>
    <x v="3785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x v="78"/>
    <b v="0"/>
    <x v="40"/>
    <x v="109"/>
    <n v="7500"/>
    <x v="1"/>
    <x v="40"/>
  </r>
  <r>
    <x v="3791"/>
    <x v="3786"/>
    <s v="Spin! is an original musical comedy-drama presented by Blue Palm Productions."/>
    <n v="1500"/>
    <n v="0"/>
    <x v="2"/>
    <x v="0"/>
    <x v="0"/>
    <n v="1404664592"/>
    <n v="1399480592"/>
    <b v="0"/>
    <x v="78"/>
    <b v="0"/>
    <x v="40"/>
    <x v="109"/>
    <n v="750"/>
    <x v="1"/>
    <x v="40"/>
  </r>
  <r>
    <x v="3792"/>
    <x v="3787"/>
    <s v="A cultural and historic journey through Puerto Rico's music and dance!"/>
    <n v="12500"/>
    <n v="35"/>
    <x v="2"/>
    <x v="0"/>
    <x v="0"/>
    <n v="1436957022"/>
    <n v="1434365022"/>
    <b v="0"/>
    <x v="84"/>
    <b v="0"/>
    <x v="40"/>
    <x v="1228"/>
    <n v="6267.5"/>
    <x v="1"/>
    <x v="40"/>
  </r>
  <r>
    <x v="3793"/>
    <x v="3788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x v="54"/>
    <b v="0"/>
    <x v="40"/>
    <x v="2722"/>
    <n v="5588"/>
    <x v="1"/>
    <x v="40"/>
  </r>
  <r>
    <x v="3794"/>
    <x v="3789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x v="29"/>
    <b v="0"/>
    <x v="40"/>
    <x v="460"/>
    <n v="2525"/>
    <x v="1"/>
    <x v="40"/>
  </r>
  <r>
    <x v="3795"/>
    <x v="3790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x v="84"/>
    <b v="0"/>
    <x v="40"/>
    <x v="1312"/>
    <n v="305"/>
    <x v="1"/>
    <x v="40"/>
  </r>
  <r>
    <x v="3796"/>
    <x v="3791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x v="29"/>
    <b v="0"/>
    <x v="40"/>
    <x v="2723"/>
    <n v="11250.5"/>
    <x v="1"/>
    <x v="40"/>
  </r>
  <r>
    <x v="3797"/>
    <x v="3792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x v="77"/>
    <b v="0"/>
    <x v="40"/>
    <x v="2724"/>
    <n v="5690"/>
    <x v="1"/>
    <x v="40"/>
  </r>
  <r>
    <x v="3798"/>
    <x v="3793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x v="81"/>
    <b v="0"/>
    <x v="40"/>
    <x v="2725"/>
    <n v="35512.5"/>
    <x v="1"/>
    <x v="40"/>
  </r>
  <r>
    <x v="3799"/>
    <x v="3794"/>
    <s v="An original musical on it's way to the stage in Minneapolis, MN. Feel free to ask any questions."/>
    <n v="10000"/>
    <n v="402"/>
    <x v="2"/>
    <x v="0"/>
    <x v="0"/>
    <n v="1457734843"/>
    <n v="1455142843"/>
    <b v="0"/>
    <x v="80"/>
    <b v="0"/>
    <x v="40"/>
    <x v="2726"/>
    <n v="5201"/>
    <x v="1"/>
    <x v="40"/>
  </r>
  <r>
    <x v="3800"/>
    <x v="3795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x v="38"/>
    <b v="0"/>
    <x v="40"/>
    <x v="2727"/>
    <n v="11440.5"/>
    <x v="1"/>
    <x v="40"/>
  </r>
  <r>
    <x v="3801"/>
    <x v="3796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x v="82"/>
    <b v="0"/>
    <x v="40"/>
    <x v="2728"/>
    <n v="2713"/>
    <x v="1"/>
    <x v="40"/>
  </r>
  <r>
    <x v="3802"/>
    <x v="3797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x v="78"/>
    <b v="0"/>
    <x v="40"/>
    <x v="109"/>
    <n v="1500"/>
    <x v="1"/>
    <x v="40"/>
  </r>
  <r>
    <x v="3803"/>
    <x v="3798"/>
    <s v="A fully orchestrated concept album of Benjamin Button the Musical!"/>
    <n v="12000"/>
    <n v="2358"/>
    <x v="2"/>
    <x v="0"/>
    <x v="0"/>
    <n v="1457133568"/>
    <n v="1454541568"/>
    <b v="0"/>
    <x v="244"/>
    <b v="0"/>
    <x v="40"/>
    <x v="2729"/>
    <n v="7179"/>
    <x v="1"/>
    <x v="40"/>
  </r>
  <r>
    <x v="3804"/>
    <x v="3799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x v="78"/>
    <b v="0"/>
    <x v="40"/>
    <x v="109"/>
    <n v="4000"/>
    <x v="1"/>
    <x v="40"/>
  </r>
  <r>
    <x v="3805"/>
    <x v="3800"/>
    <s v="&quot;Sounds By The River&quot; tells the story of a Detroit composer through_x000a_his music, poetry, and dance."/>
    <n v="150000"/>
    <n v="3"/>
    <x v="2"/>
    <x v="0"/>
    <x v="0"/>
    <n v="1411852640"/>
    <n v="1406668640"/>
    <b v="0"/>
    <x v="84"/>
    <b v="0"/>
    <x v="40"/>
    <x v="133"/>
    <n v="75001.5"/>
    <x v="1"/>
    <x v="40"/>
  </r>
  <r>
    <x v="3806"/>
    <x v="3801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x v="29"/>
    <b v="0"/>
    <x v="40"/>
    <x v="2730"/>
    <n v="3752.5"/>
    <x v="1"/>
    <x v="40"/>
  </r>
  <r>
    <x v="3807"/>
    <x v="3802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x v="82"/>
    <b v="0"/>
    <x v="40"/>
    <x v="2731"/>
    <n v="977.5"/>
    <x v="1"/>
    <x v="40"/>
  </r>
  <r>
    <x v="3808"/>
    <x v="3803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x v="54"/>
    <b v="1"/>
    <x v="6"/>
    <x v="31"/>
    <n v="1000"/>
    <x v="1"/>
    <x v="6"/>
  </r>
  <r>
    <x v="3809"/>
    <x v="3804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x v="44"/>
    <b v="1"/>
    <x v="6"/>
    <x v="982"/>
    <n v="2012.5"/>
    <x v="1"/>
    <x v="6"/>
  </r>
  <r>
    <x v="3810"/>
    <x v="3805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x v="55"/>
    <b v="1"/>
    <x v="6"/>
    <x v="2732"/>
    <n v="1663"/>
    <x v="1"/>
    <x v="6"/>
  </r>
  <r>
    <x v="3811"/>
    <x v="3806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x v="10"/>
    <b v="1"/>
    <x v="6"/>
    <x v="2733"/>
    <n v="537.5"/>
    <x v="1"/>
    <x v="6"/>
  </r>
  <r>
    <x v="3812"/>
    <x v="3807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x v="202"/>
    <b v="1"/>
    <x v="6"/>
    <x v="1708"/>
    <n v="2095.5"/>
    <x v="1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x v="74"/>
    <b v="1"/>
    <x v="6"/>
    <x v="2734"/>
    <n v="2109.9949999999999"/>
    <x v="1"/>
    <x v="6"/>
  </r>
  <r>
    <x v="3814"/>
    <x v="3809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x v="69"/>
    <b v="1"/>
    <x v="6"/>
    <x v="2735"/>
    <n v="1801"/>
    <x v="1"/>
    <x v="6"/>
  </r>
  <r>
    <x v="3815"/>
    <x v="3810"/>
    <s v="Come and help us make the Canterbury Shakespeare Festival a reality"/>
    <n v="1000"/>
    <n v="1000.01"/>
    <x v="0"/>
    <x v="1"/>
    <x v="1"/>
    <n v="1440111600"/>
    <n v="1437545657"/>
    <b v="0"/>
    <x v="9"/>
    <b v="1"/>
    <x v="6"/>
    <x v="2736"/>
    <n v="1000.005"/>
    <x v="1"/>
    <x v="6"/>
  </r>
  <r>
    <x v="3816"/>
    <x v="3811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x v="77"/>
    <b v="1"/>
    <x v="6"/>
    <x v="2737"/>
    <n v="1644.2849999999999"/>
    <x v="1"/>
    <x v="6"/>
  </r>
  <r>
    <x v="3817"/>
    <x v="3812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x v="9"/>
    <b v="1"/>
    <x v="6"/>
    <x v="75"/>
    <n v="2072.5"/>
    <x v="1"/>
    <x v="6"/>
  </r>
  <r>
    <x v="3818"/>
    <x v="3813"/>
    <s v="The Arthurian Order of Avalon is attempting to raise funds to put on the annual Human Chessboard in March 2015!"/>
    <n v="250"/>
    <n v="570"/>
    <x v="0"/>
    <x v="0"/>
    <x v="0"/>
    <n v="1426187582"/>
    <n v="1423599182"/>
    <b v="0"/>
    <x v="73"/>
    <b v="1"/>
    <x v="6"/>
    <x v="2738"/>
    <n v="410"/>
    <x v="1"/>
    <x v="6"/>
  </r>
  <r>
    <x v="3819"/>
    <x v="3814"/>
    <s v="Support this collection of new plays by Kansas City writers and the artists who are bringing it to life!"/>
    <n v="1000"/>
    <n v="1064"/>
    <x v="0"/>
    <x v="0"/>
    <x v="0"/>
    <n v="1437166920"/>
    <n v="1435554104"/>
    <b v="0"/>
    <x v="55"/>
    <b v="1"/>
    <x v="6"/>
    <x v="201"/>
    <n v="1032"/>
    <x v="1"/>
    <x v="6"/>
  </r>
  <r>
    <x v="3820"/>
    <x v="3815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x v="9"/>
    <b v="1"/>
    <x v="6"/>
    <x v="2255"/>
    <n v="365"/>
    <x v="1"/>
    <x v="6"/>
  </r>
  <r>
    <x v="3821"/>
    <x v="38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x v="67"/>
    <b v="1"/>
    <x v="6"/>
    <x v="2739"/>
    <n v="3579.5"/>
    <x v="1"/>
    <x v="6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x v="88"/>
    <b v="1"/>
    <x v="6"/>
    <x v="2740"/>
    <n v="5250.5"/>
    <x v="1"/>
    <x v="6"/>
  </r>
  <r>
    <x v="3823"/>
    <x v="3818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x v="14"/>
    <b v="1"/>
    <x v="6"/>
    <x v="938"/>
    <n v="2575"/>
    <x v="1"/>
    <x v="6"/>
  </r>
  <r>
    <x v="3824"/>
    <x v="3819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x v="63"/>
    <b v="1"/>
    <x v="6"/>
    <x v="1277"/>
    <n v="260"/>
    <x v="1"/>
    <x v="6"/>
  </r>
  <r>
    <x v="3825"/>
    <x v="3820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x v="72"/>
    <b v="1"/>
    <x v="6"/>
    <x v="2741"/>
    <n v="5135.5"/>
    <x v="1"/>
    <x v="6"/>
  </r>
  <r>
    <x v="3826"/>
    <x v="3821"/>
    <s v="This is the story about the Westons. One family who live with mental illness on a daily basis."/>
    <n v="600"/>
    <n v="715"/>
    <x v="0"/>
    <x v="1"/>
    <x v="1"/>
    <n v="1430993394"/>
    <n v="1428401394"/>
    <b v="0"/>
    <x v="55"/>
    <b v="1"/>
    <x v="6"/>
    <x v="650"/>
    <n v="657.5"/>
    <x v="1"/>
    <x v="6"/>
  </r>
  <r>
    <x v="3827"/>
    <x v="3822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x v="71"/>
    <b v="1"/>
    <x v="6"/>
    <x v="2742"/>
    <n v="3790"/>
    <x v="1"/>
    <x v="6"/>
  </r>
  <r>
    <x v="3828"/>
    <x v="3823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x v="33"/>
    <b v="1"/>
    <x v="6"/>
    <x v="31"/>
    <n v="5000"/>
    <x v="1"/>
    <x v="6"/>
  </r>
  <r>
    <x v="3829"/>
    <x v="3824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x v="22"/>
    <b v="1"/>
    <x v="6"/>
    <x v="20"/>
    <n v="500.5"/>
    <x v="1"/>
    <x v="6"/>
  </r>
  <r>
    <x v="3830"/>
    <x v="3825"/>
    <s v="The Aeon Theatre company is producing another original play by Parker Hale at the Manhattan Reportory Theatre"/>
    <n v="100"/>
    <n v="225"/>
    <x v="0"/>
    <x v="0"/>
    <x v="0"/>
    <n v="1464371211"/>
    <n v="1463161611"/>
    <b v="0"/>
    <x v="83"/>
    <b v="1"/>
    <x v="6"/>
    <x v="2743"/>
    <n v="162.5"/>
    <x v="1"/>
    <x v="6"/>
  </r>
  <r>
    <x v="3831"/>
    <x v="3826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x v="82"/>
    <b v="1"/>
    <x v="6"/>
    <x v="2744"/>
    <n v="515.05500000000006"/>
    <x v="1"/>
    <x v="6"/>
  </r>
  <r>
    <x v="3832"/>
    <x v="3827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x v="82"/>
    <b v="1"/>
    <x v="6"/>
    <x v="436"/>
    <n v="1228"/>
    <x v="1"/>
    <x v="6"/>
  </r>
  <r>
    <x v="3833"/>
    <x v="3828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x v="9"/>
    <b v="1"/>
    <x v="6"/>
    <x v="988"/>
    <n v="1300"/>
    <x v="1"/>
    <x v="6"/>
  </r>
  <r>
    <x v="3834"/>
    <x v="3829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x v="7"/>
    <b v="1"/>
    <x v="6"/>
    <x v="2745"/>
    <n v="3135.5"/>
    <x v="1"/>
    <x v="6"/>
  </r>
  <r>
    <x v="3835"/>
    <x v="3830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x v="22"/>
    <b v="1"/>
    <x v="6"/>
    <x v="583"/>
    <n v="260"/>
    <x v="1"/>
    <x v="6"/>
  </r>
  <r>
    <x v="3836"/>
    <x v="3831"/>
    <s v="&quot;The surveyor said the foundation was shaky&quot;. A woman finds what it means to rebuild her marriage."/>
    <n v="800"/>
    <n v="900"/>
    <x v="0"/>
    <x v="0"/>
    <x v="0"/>
    <n v="1470197340"/>
    <n v="1467497652"/>
    <b v="0"/>
    <x v="25"/>
    <b v="1"/>
    <x v="6"/>
    <x v="2460"/>
    <n v="850"/>
    <x v="1"/>
    <x v="6"/>
  </r>
  <r>
    <x v="3837"/>
    <x v="3832"/>
    <s v="A high-flying French farce with the thrust of a well-tuned jet engine"/>
    <n v="2000"/>
    <n v="2042"/>
    <x v="0"/>
    <x v="1"/>
    <x v="1"/>
    <n v="1435947758"/>
    <n v="1432837358"/>
    <b v="0"/>
    <x v="57"/>
    <b v="1"/>
    <x v="6"/>
    <x v="426"/>
    <n v="2021"/>
    <x v="1"/>
    <x v="6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x v="61"/>
    <b v="1"/>
    <x v="6"/>
    <x v="2746"/>
    <n v="100412"/>
    <x v="1"/>
    <x v="6"/>
  </r>
  <r>
    <x v="3839"/>
    <x v="3834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x v="58"/>
    <b v="1"/>
    <x v="6"/>
    <x v="982"/>
    <n v="2012.5"/>
    <x v="1"/>
    <x v="6"/>
  </r>
  <r>
    <x v="3840"/>
    <x v="3835"/>
    <s v="A gritty play looking at a modern day relationship, highlighting issues of mental health and abuse suffered by men."/>
    <n v="1"/>
    <n v="65"/>
    <x v="0"/>
    <x v="1"/>
    <x v="1"/>
    <n v="1459180229"/>
    <n v="1457023829"/>
    <b v="0"/>
    <x v="83"/>
    <b v="1"/>
    <x v="6"/>
    <x v="2747"/>
    <n v="33"/>
    <x v="1"/>
    <x v="6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x v="69"/>
    <b v="0"/>
    <x v="6"/>
    <x v="2748"/>
    <n v="5436"/>
    <x v="1"/>
    <x v="6"/>
  </r>
  <r>
    <x v="3842"/>
    <x v="3837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x v="23"/>
    <b v="0"/>
    <x v="6"/>
    <x v="2749"/>
    <n v="3048.5"/>
    <x v="1"/>
    <x v="6"/>
  </r>
  <r>
    <x v="3843"/>
    <x v="3838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x v="10"/>
    <b v="0"/>
    <x v="6"/>
    <x v="2750"/>
    <n v="3032.5"/>
    <x v="1"/>
    <x v="6"/>
  </r>
  <r>
    <x v="3844"/>
    <x v="3839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x v="133"/>
    <b v="0"/>
    <x v="6"/>
    <x v="2751"/>
    <n v="6933"/>
    <x v="1"/>
    <x v="6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x v="8"/>
    <b v="0"/>
    <x v="6"/>
    <x v="2752"/>
    <n v="20421"/>
    <x v="1"/>
    <x v="6"/>
  </r>
  <r>
    <x v="3846"/>
    <x v="3841"/>
    <s v="My Insane Shakespeare. An original play by Arthur Elbakyan premiering October 13th at United Solo, New York City."/>
    <n v="7000"/>
    <n v="189"/>
    <x v="2"/>
    <x v="0"/>
    <x v="0"/>
    <n v="1412405940"/>
    <n v="1409721542"/>
    <b v="1"/>
    <x v="22"/>
    <b v="0"/>
    <x v="6"/>
    <x v="837"/>
    <n v="3594.5"/>
    <x v="1"/>
    <x v="6"/>
  </r>
  <r>
    <x v="3847"/>
    <x v="3842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x v="82"/>
    <b v="0"/>
    <x v="6"/>
    <x v="2753"/>
    <n v="6098.5"/>
    <x v="1"/>
    <x v="6"/>
  </r>
  <r>
    <x v="3848"/>
    <x v="3843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x v="68"/>
    <b v="0"/>
    <x v="6"/>
    <x v="2754"/>
    <n v="7564.5"/>
    <x v="1"/>
    <x v="6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x v="33"/>
    <b v="0"/>
    <x v="6"/>
    <x v="2755"/>
    <n v="16056.5"/>
    <x v="1"/>
    <x v="6"/>
  </r>
  <r>
    <x v="3850"/>
    <x v="3845"/>
    <s v="V-Day is a global activist movement to end violence against women and girls."/>
    <n v="1000"/>
    <n v="38"/>
    <x v="2"/>
    <x v="0"/>
    <x v="0"/>
    <n v="1420081143"/>
    <n v="1417489143"/>
    <b v="1"/>
    <x v="80"/>
    <b v="0"/>
    <x v="6"/>
    <x v="2756"/>
    <n v="519"/>
    <x v="1"/>
    <x v="6"/>
  </r>
  <r>
    <x v="3851"/>
    <x v="3846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x v="54"/>
    <b v="0"/>
    <x v="6"/>
    <x v="2757"/>
    <n v="1676"/>
    <x v="1"/>
    <x v="6"/>
  </r>
  <r>
    <x v="3852"/>
    <x v="3847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x v="84"/>
    <b v="0"/>
    <x v="6"/>
    <x v="418"/>
    <n v="5010"/>
    <x v="1"/>
    <x v="6"/>
  </r>
  <r>
    <x v="3853"/>
    <x v="3848"/>
    <s v="A dose of One-woman &quot;Dramedy&quot; to cure those daily blues is just what the doctor ordered!"/>
    <n v="100000"/>
    <n v="26"/>
    <x v="2"/>
    <x v="0"/>
    <x v="0"/>
    <n v="1409602178"/>
    <n v="1406578178"/>
    <b v="0"/>
    <x v="84"/>
    <b v="0"/>
    <x v="6"/>
    <x v="2758"/>
    <n v="50013"/>
    <x v="1"/>
    <x v="6"/>
  </r>
  <r>
    <x v="3854"/>
    <x v="3849"/>
    <s v="A play dedicated to the 100th anniversary of the Armenian Genocide."/>
    <n v="11000"/>
    <n v="1788"/>
    <x v="2"/>
    <x v="0"/>
    <x v="0"/>
    <n v="1431206058"/>
    <n v="1428614058"/>
    <b v="0"/>
    <x v="9"/>
    <b v="0"/>
    <x v="6"/>
    <x v="2759"/>
    <n v="6394"/>
    <x v="1"/>
    <x v="6"/>
  </r>
  <r>
    <x v="3855"/>
    <x v="3850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x v="29"/>
    <b v="0"/>
    <x v="6"/>
    <x v="453"/>
    <n v="512.5"/>
    <x v="1"/>
    <x v="6"/>
  </r>
  <r>
    <x v="3856"/>
    <x v="3851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x v="29"/>
    <b v="0"/>
    <x v="6"/>
    <x v="459"/>
    <n v="2500.5"/>
    <x v="1"/>
    <x v="6"/>
  </r>
  <r>
    <x v="3857"/>
    <x v="3852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x v="80"/>
    <b v="0"/>
    <x v="6"/>
    <x v="2760"/>
    <n v="2630"/>
    <x v="1"/>
    <x v="6"/>
  </r>
  <r>
    <x v="3858"/>
    <x v="3853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x v="29"/>
    <b v="0"/>
    <x v="6"/>
    <x v="172"/>
    <n v="255"/>
    <x v="1"/>
    <x v="6"/>
  </r>
  <r>
    <x v="3859"/>
    <x v="3854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x v="29"/>
    <b v="0"/>
    <x v="6"/>
    <x v="167"/>
    <n v="1250.5"/>
    <x v="1"/>
    <x v="6"/>
  </r>
  <r>
    <x v="3860"/>
    <x v="3855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x v="62"/>
    <b v="0"/>
    <x v="6"/>
    <x v="2761"/>
    <n v="3530"/>
    <x v="1"/>
    <x v="6"/>
  </r>
  <r>
    <x v="3861"/>
    <x v="3856"/>
    <s v="THE COMING OF THE LORD!"/>
    <n v="2000"/>
    <n v="100"/>
    <x v="2"/>
    <x v="0"/>
    <x v="0"/>
    <n v="1415828820"/>
    <n v="1412258977"/>
    <b v="0"/>
    <x v="29"/>
    <b v="0"/>
    <x v="6"/>
    <x v="152"/>
    <n v="1050"/>
    <x v="1"/>
    <x v="6"/>
  </r>
  <r>
    <x v="3862"/>
    <x v="3857"/>
    <s v="The hit immersive theatre experience of England comes to Corpus Christi!"/>
    <n v="7500"/>
    <n v="1"/>
    <x v="2"/>
    <x v="0"/>
    <x v="0"/>
    <n v="1473699540"/>
    <n v="1472451356"/>
    <b v="0"/>
    <x v="29"/>
    <b v="0"/>
    <x v="6"/>
    <x v="473"/>
    <n v="3750.5"/>
    <x v="1"/>
    <x v="6"/>
  </r>
  <r>
    <x v="3863"/>
    <x v="3858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x v="78"/>
    <b v="0"/>
    <x v="6"/>
    <x v="109"/>
    <n v="3000"/>
    <x v="1"/>
    <x v="6"/>
  </r>
  <r>
    <x v="3864"/>
    <x v="3859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x v="83"/>
    <b v="0"/>
    <x v="6"/>
    <x v="444"/>
    <n v="2530"/>
    <x v="1"/>
    <x v="6"/>
  </r>
  <r>
    <x v="3865"/>
    <x v="3860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x v="25"/>
    <b v="0"/>
    <x v="6"/>
    <x v="2762"/>
    <n v="1531.5"/>
    <x v="1"/>
    <x v="6"/>
  </r>
  <r>
    <x v="3866"/>
    <x v="3861"/>
    <s v="A funny, moving, witty piece about a girl, her oboe, and her dreams."/>
    <n v="2000"/>
    <n v="11"/>
    <x v="2"/>
    <x v="0"/>
    <x v="0"/>
    <n v="1458703740"/>
    <n v="1454453021"/>
    <b v="0"/>
    <x v="84"/>
    <b v="0"/>
    <x v="6"/>
    <x v="1219"/>
    <n v="1005.5"/>
    <x v="1"/>
    <x v="6"/>
  </r>
  <r>
    <x v="3867"/>
    <x v="3862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x v="81"/>
    <b v="0"/>
    <x v="6"/>
    <x v="2763"/>
    <n v="1125.5"/>
    <x v="1"/>
    <x v="6"/>
  </r>
  <r>
    <x v="3868"/>
    <x v="3863"/>
    <s v="New collection of music by Scott Evan Davis!"/>
    <n v="5000"/>
    <n v="10"/>
    <x v="1"/>
    <x v="1"/>
    <x v="1"/>
    <n v="1410191405"/>
    <n v="1408031405"/>
    <b v="0"/>
    <x v="29"/>
    <b v="0"/>
    <x v="40"/>
    <x v="418"/>
    <n v="2505"/>
    <x v="1"/>
    <x v="40"/>
  </r>
  <r>
    <x v="3869"/>
    <x v="3864"/>
    <s v="A Musical about 3 women who pursue their Pleasure and end up finding themselves."/>
    <n v="13111"/>
    <n v="452"/>
    <x v="1"/>
    <x v="0"/>
    <x v="0"/>
    <n v="1426302660"/>
    <n v="1423761792"/>
    <b v="0"/>
    <x v="41"/>
    <b v="0"/>
    <x v="40"/>
    <x v="2764"/>
    <n v="6781.5"/>
    <x v="1"/>
    <x v="40"/>
  </r>
  <r>
    <x v="3870"/>
    <x v="3865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x v="73"/>
    <b v="0"/>
    <x v="40"/>
    <x v="2154"/>
    <n v="5750"/>
    <x v="1"/>
    <x v="40"/>
  </r>
  <r>
    <x v="3871"/>
    <x v="3866"/>
    <s v="Our musical is finally ready to come to life, and we're raising funds to help make that happen!"/>
    <n v="1500"/>
    <n v="40"/>
    <x v="1"/>
    <x v="0"/>
    <x v="0"/>
    <n v="1490809450"/>
    <n v="1485629050"/>
    <b v="0"/>
    <x v="83"/>
    <b v="0"/>
    <x v="40"/>
    <x v="129"/>
    <n v="770"/>
    <x v="1"/>
    <x v="40"/>
  </r>
  <r>
    <x v="3872"/>
    <x v="3867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x v="78"/>
    <b v="0"/>
    <x v="40"/>
    <x v="109"/>
    <n v="7500"/>
    <x v="1"/>
    <x v="40"/>
  </r>
  <r>
    <x v="3873"/>
    <x v="3868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x v="78"/>
    <b v="0"/>
    <x v="40"/>
    <x v="109"/>
    <n v="2750"/>
    <x v="1"/>
    <x v="40"/>
  </r>
  <r>
    <x v="3874"/>
    <x v="3869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x v="78"/>
    <b v="0"/>
    <x v="40"/>
    <x v="109"/>
    <n v="310"/>
    <x v="1"/>
    <x v="40"/>
  </r>
  <r>
    <x v="3875"/>
    <x v="3870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x v="78"/>
    <b v="0"/>
    <x v="40"/>
    <x v="109"/>
    <n v="15000"/>
    <x v="1"/>
    <x v="40"/>
  </r>
  <r>
    <x v="3876"/>
    <x v="3871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x v="67"/>
    <b v="0"/>
    <x v="40"/>
    <x v="2765"/>
    <n v="2979.5"/>
    <x v="1"/>
    <x v="40"/>
  </r>
  <r>
    <x v="3877"/>
    <x v="3872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x v="25"/>
    <b v="0"/>
    <x v="40"/>
    <x v="2766"/>
    <n v="13120.5"/>
    <x v="1"/>
    <x v="40"/>
  </r>
  <r>
    <x v="3878"/>
    <x v="3873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x v="29"/>
    <b v="0"/>
    <x v="40"/>
    <x v="2767"/>
    <n v="9005"/>
    <x v="1"/>
    <x v="40"/>
  </r>
  <r>
    <x v="3879"/>
    <x v="3874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x v="78"/>
    <b v="0"/>
    <x v="40"/>
    <x v="109"/>
    <n v="7500"/>
    <x v="1"/>
    <x v="40"/>
  </r>
  <r>
    <x v="3880"/>
    <x v="3875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x v="57"/>
    <b v="0"/>
    <x v="40"/>
    <x v="2768"/>
    <n v="4240"/>
    <x v="1"/>
    <x v="40"/>
  </r>
  <r>
    <x v="3881"/>
    <x v="3876"/>
    <s v="A musical journey coming to the Blue Venue at the 2017 Orlando Fringe Festival!"/>
    <n v="500"/>
    <n v="25"/>
    <x v="1"/>
    <x v="0"/>
    <x v="0"/>
    <n v="1487550399"/>
    <n v="1484958399"/>
    <b v="0"/>
    <x v="29"/>
    <b v="0"/>
    <x v="40"/>
    <x v="152"/>
    <n v="262.5"/>
    <x v="1"/>
    <x v="40"/>
  </r>
  <r>
    <x v="3882"/>
    <x v="3877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x v="78"/>
    <b v="0"/>
    <x v="40"/>
    <x v="109"/>
    <n v="15000"/>
    <x v="1"/>
    <x v="40"/>
  </r>
  <r>
    <x v="3883"/>
    <x v="3878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x v="78"/>
    <b v="0"/>
    <x v="40"/>
    <x v="109"/>
    <n v="7500"/>
    <x v="1"/>
    <x v="40"/>
  </r>
  <r>
    <x v="3884"/>
    <x v="3879"/>
    <s v="The Group M3 is striving to give one of the poorest towns in the country hope again this Easter Holiday."/>
    <n v="10000"/>
    <n v="0"/>
    <x v="1"/>
    <x v="0"/>
    <x v="0"/>
    <n v="1427479192"/>
    <n v="1425322792"/>
    <b v="0"/>
    <x v="78"/>
    <b v="0"/>
    <x v="40"/>
    <x v="109"/>
    <n v="5000"/>
    <x v="1"/>
    <x v="40"/>
  </r>
  <r>
    <x v="3885"/>
    <x v="3880"/>
    <s v="A LIVE musical spectacular theatrical experience of The Beatles recording sessions at Abbey Road Studios."/>
    <n v="375000"/>
    <n v="0"/>
    <x v="1"/>
    <x v="0"/>
    <x v="0"/>
    <n v="1462834191"/>
    <n v="1460242191"/>
    <b v="0"/>
    <x v="78"/>
    <b v="0"/>
    <x v="40"/>
    <x v="109"/>
    <n v="187500"/>
    <x v="1"/>
    <x v="40"/>
  </r>
  <r>
    <x v="3886"/>
    <x v="3881"/>
    <n v="1"/>
    <n v="10000"/>
    <n v="0"/>
    <x v="1"/>
    <x v="2"/>
    <x v="2"/>
    <n v="1418275702"/>
    <n v="1415683702"/>
    <b v="0"/>
    <x v="78"/>
    <b v="0"/>
    <x v="40"/>
    <x v="109"/>
    <n v="5000"/>
    <x v="1"/>
    <x v="40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x v="84"/>
    <b v="0"/>
    <x v="40"/>
    <x v="1922"/>
    <n v="1017.5"/>
    <x v="1"/>
    <x v="40"/>
  </r>
  <r>
    <x v="3888"/>
    <x v="3883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x v="25"/>
    <b v="0"/>
    <x v="6"/>
    <x v="2769"/>
    <n v="1271"/>
    <x v="1"/>
    <x v="6"/>
  </r>
  <r>
    <x v="3889"/>
    <x v="3884"/>
    <s v="A romantic comedy about a girl trying to figure out what to do with her life and an angel who comes to help her."/>
    <n v="8000"/>
    <n v="118"/>
    <x v="2"/>
    <x v="0"/>
    <x v="0"/>
    <n v="1420413960"/>
    <n v="1417651630"/>
    <b v="0"/>
    <x v="82"/>
    <b v="0"/>
    <x v="6"/>
    <x v="2770"/>
    <n v="4059"/>
    <x v="1"/>
    <x v="6"/>
  </r>
  <r>
    <x v="3890"/>
    <x v="3885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x v="22"/>
    <b v="0"/>
    <x v="6"/>
    <x v="2771"/>
    <n v="8762"/>
    <x v="1"/>
    <x v="6"/>
  </r>
  <r>
    <x v="3891"/>
    <x v="3886"/>
    <s v="A comedy about a mime who dreams of becoming a stand up comedian."/>
    <n v="800"/>
    <n v="260"/>
    <x v="2"/>
    <x v="0"/>
    <x v="0"/>
    <n v="1427086740"/>
    <n v="1424488244"/>
    <b v="0"/>
    <x v="63"/>
    <b v="0"/>
    <x v="6"/>
    <x v="2164"/>
    <n v="530"/>
    <x v="1"/>
    <x v="6"/>
  </r>
  <r>
    <x v="3892"/>
    <x v="3887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x v="78"/>
    <b v="0"/>
    <x v="6"/>
    <x v="109"/>
    <n v="500"/>
    <x v="1"/>
    <x v="6"/>
  </r>
  <r>
    <x v="3893"/>
    <x v="3888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x v="87"/>
    <b v="0"/>
    <x v="6"/>
    <x v="2772"/>
    <n v="30387.5"/>
    <x v="1"/>
    <x v="6"/>
  </r>
  <r>
    <x v="3894"/>
    <x v="3889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x v="202"/>
    <b v="0"/>
    <x v="6"/>
    <x v="2773"/>
    <n v="7760"/>
    <x v="1"/>
    <x v="6"/>
  </r>
  <r>
    <x v="3895"/>
    <x v="3890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x v="29"/>
    <b v="0"/>
    <x v="6"/>
    <x v="152"/>
    <n v="525"/>
    <x v="1"/>
    <x v="6"/>
  </r>
  <r>
    <x v="3896"/>
    <x v="3891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x v="80"/>
    <b v="0"/>
    <x v="6"/>
    <x v="2774"/>
    <n v="885"/>
    <x v="1"/>
    <x v="6"/>
  </r>
  <r>
    <x v="3897"/>
    <x v="3892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x v="73"/>
    <b v="0"/>
    <x v="6"/>
    <x v="2775"/>
    <n v="1470"/>
    <x v="1"/>
    <x v="6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x v="38"/>
    <b v="0"/>
    <x v="6"/>
    <x v="397"/>
    <n v="1657"/>
    <x v="1"/>
    <x v="6"/>
  </r>
  <r>
    <x v="3899"/>
    <x v="3894"/>
    <s v="More than just a play, RAIN is an outreach to hurting people who feel disengaged or rejected by others."/>
    <n v="10000"/>
    <n v="125"/>
    <x v="2"/>
    <x v="0"/>
    <x v="0"/>
    <n v="1407868561"/>
    <n v="1406140561"/>
    <b v="0"/>
    <x v="84"/>
    <b v="0"/>
    <x v="6"/>
    <x v="2372"/>
    <n v="5062.5"/>
    <x v="1"/>
    <x v="6"/>
  </r>
  <r>
    <x v="3900"/>
    <x v="3895"/>
    <s v="HUB Theatre Group collaborates with local artists to present John Logan's RED to the community."/>
    <n v="2500"/>
    <n v="135"/>
    <x v="2"/>
    <x v="0"/>
    <x v="0"/>
    <n v="1433988791"/>
    <n v="1431396791"/>
    <b v="0"/>
    <x v="81"/>
    <b v="0"/>
    <x v="6"/>
    <x v="2331"/>
    <n v="1317.5"/>
    <x v="1"/>
    <x v="6"/>
  </r>
  <r>
    <x v="3901"/>
    <x v="3896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x v="29"/>
    <b v="0"/>
    <x v="6"/>
    <x v="1863"/>
    <n v="1512.5"/>
    <x v="1"/>
    <x v="6"/>
  </r>
  <r>
    <x v="3902"/>
    <x v="3897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x v="162"/>
    <b v="0"/>
    <x v="6"/>
    <x v="2776"/>
    <n v="2232.5"/>
    <x v="1"/>
    <x v="6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x v="78"/>
    <b v="0"/>
    <x v="6"/>
    <x v="109"/>
    <n v="750"/>
    <x v="1"/>
    <x v="6"/>
  </r>
  <r>
    <x v="3904"/>
    <x v="3899"/>
    <s v="A play that will cover 4000 years of black history."/>
    <n v="10000"/>
    <n v="3"/>
    <x v="2"/>
    <x v="0"/>
    <x v="0"/>
    <n v="1429074240"/>
    <n v="1427866200"/>
    <b v="0"/>
    <x v="84"/>
    <b v="0"/>
    <x v="6"/>
    <x v="479"/>
    <n v="5001.5"/>
    <x v="1"/>
    <x v="6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x v="63"/>
    <b v="0"/>
    <x v="6"/>
    <x v="2777"/>
    <n v="836.5"/>
    <x v="1"/>
    <x v="6"/>
  </r>
  <r>
    <x v="3906"/>
    <x v="3901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x v="38"/>
    <b v="0"/>
    <x v="6"/>
    <x v="2778"/>
    <n v="1255"/>
    <x v="1"/>
    <x v="6"/>
  </r>
  <r>
    <x v="3907"/>
    <x v="3902"/>
    <s v="Burqa&amp;Rifle dramatizes the  encounter between two women -- a vigilante and a convert to Islam."/>
    <n v="1000"/>
    <n v="153"/>
    <x v="2"/>
    <x v="0"/>
    <x v="0"/>
    <n v="1414354080"/>
    <n v="1411587606"/>
    <b v="0"/>
    <x v="80"/>
    <b v="0"/>
    <x v="6"/>
    <x v="2779"/>
    <n v="576.5"/>
    <x v="1"/>
    <x v="6"/>
  </r>
  <r>
    <x v="3908"/>
    <x v="3903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x v="80"/>
    <b v="0"/>
    <x v="6"/>
    <x v="2780"/>
    <n v="407.5"/>
    <x v="1"/>
    <x v="6"/>
  </r>
  <r>
    <x v="3909"/>
    <x v="3904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x v="80"/>
    <b v="0"/>
    <x v="6"/>
    <x v="2781"/>
    <n v="30067.5"/>
    <x v="1"/>
    <x v="6"/>
  </r>
  <r>
    <x v="3910"/>
    <x v="3905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x v="83"/>
    <b v="0"/>
    <x v="6"/>
    <x v="2782"/>
    <n v="3092.5"/>
    <x v="1"/>
    <x v="6"/>
  </r>
  <r>
    <x v="3911"/>
    <x v="3906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x v="17"/>
    <b v="0"/>
    <x v="6"/>
    <x v="2783"/>
    <n v="5496.5"/>
    <x v="1"/>
    <x v="6"/>
  </r>
  <r>
    <x v="3912"/>
    <x v="3907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x v="29"/>
    <b v="0"/>
    <x v="6"/>
    <x v="440"/>
    <n v="7500.5"/>
    <x v="1"/>
    <x v="6"/>
  </r>
  <r>
    <x v="3913"/>
    <x v="3908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x v="63"/>
    <b v="0"/>
    <x v="6"/>
    <x v="709"/>
    <n v="5500"/>
    <x v="1"/>
    <x v="6"/>
  </r>
  <r>
    <x v="3914"/>
    <x v="3909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x v="74"/>
    <b v="0"/>
    <x v="6"/>
    <x v="2784"/>
    <n v="1704.5"/>
    <x v="1"/>
    <x v="6"/>
  </r>
  <r>
    <x v="3915"/>
    <x v="3910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x v="29"/>
    <b v="0"/>
    <x v="6"/>
    <x v="119"/>
    <n v="752.5"/>
    <x v="1"/>
    <x v="6"/>
  </r>
  <r>
    <x v="3916"/>
    <x v="3911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x v="78"/>
    <b v="0"/>
    <x v="6"/>
    <x v="109"/>
    <n v="1000"/>
    <x v="1"/>
    <x v="6"/>
  </r>
  <r>
    <x v="3917"/>
    <x v="3912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x v="29"/>
    <b v="0"/>
    <x v="6"/>
    <x v="2785"/>
    <n v="1755"/>
    <x v="1"/>
    <x v="6"/>
  </r>
  <r>
    <x v="3918"/>
    <x v="3913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x v="83"/>
    <b v="0"/>
    <x v="6"/>
    <x v="418"/>
    <n v="30060"/>
    <x v="1"/>
    <x v="6"/>
  </r>
  <r>
    <x v="3919"/>
    <x v="3914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x v="83"/>
    <b v="0"/>
    <x v="6"/>
    <x v="2786"/>
    <n v="2545"/>
    <x v="1"/>
    <x v="6"/>
  </r>
  <r>
    <x v="3920"/>
    <x v="3915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x v="83"/>
    <b v="0"/>
    <x v="6"/>
    <x v="2331"/>
    <n v="1317.5"/>
    <x v="1"/>
    <x v="6"/>
  </r>
  <r>
    <x v="3921"/>
    <x v="3916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x v="78"/>
    <b v="0"/>
    <x v="6"/>
    <x v="109"/>
    <n v="1500"/>
    <x v="1"/>
    <x v="6"/>
  </r>
  <r>
    <x v="3922"/>
    <x v="3917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x v="79"/>
    <b v="0"/>
    <x v="6"/>
    <x v="2787"/>
    <n v="405.5"/>
    <x v="1"/>
    <x v="6"/>
  </r>
  <r>
    <x v="3923"/>
    <x v="3918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x v="57"/>
    <b v="0"/>
    <x v="6"/>
    <x v="2788"/>
    <n v="6442"/>
    <x v="1"/>
    <x v="6"/>
  </r>
  <r>
    <x v="3924"/>
    <x v="3919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x v="244"/>
    <b v="0"/>
    <x v="6"/>
    <x v="2789"/>
    <n v="8645"/>
    <x v="1"/>
    <x v="6"/>
  </r>
  <r>
    <x v="3925"/>
    <x v="3920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x v="83"/>
    <b v="0"/>
    <x v="6"/>
    <x v="709"/>
    <n v="82.5"/>
    <x v="1"/>
    <x v="6"/>
  </r>
  <r>
    <x v="3926"/>
    <x v="3921"/>
    <s v="Producing syllabus-relevant theatre targeted to HSC students on the NSW Central Coast"/>
    <n v="5000"/>
    <n v="15"/>
    <x v="2"/>
    <x v="2"/>
    <x v="2"/>
    <n v="1419645748"/>
    <n v="1417053748"/>
    <b v="0"/>
    <x v="29"/>
    <b v="0"/>
    <x v="6"/>
    <x v="715"/>
    <n v="2507.5"/>
    <x v="1"/>
    <x v="6"/>
  </r>
  <r>
    <x v="3927"/>
    <x v="3922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x v="84"/>
    <b v="0"/>
    <x v="6"/>
    <x v="460"/>
    <n v="1262.5"/>
    <x v="1"/>
    <x v="6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x v="63"/>
    <b v="0"/>
    <x v="6"/>
    <x v="2790"/>
    <n v="2825.5"/>
    <x v="1"/>
    <x v="6"/>
  </r>
  <r>
    <x v="3929"/>
    <x v="3924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x v="25"/>
    <b v="0"/>
    <x v="6"/>
    <x v="2791"/>
    <n v="10226.5"/>
    <x v="1"/>
    <x v="6"/>
  </r>
  <r>
    <x v="3930"/>
    <x v="3925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x v="78"/>
    <b v="0"/>
    <x v="6"/>
    <x v="109"/>
    <n v="5000"/>
    <x v="1"/>
    <x v="6"/>
  </r>
  <r>
    <x v="3931"/>
    <x v="3926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x v="78"/>
    <b v="0"/>
    <x v="6"/>
    <x v="109"/>
    <n v="4000"/>
    <x v="1"/>
    <x v="6"/>
  </r>
  <r>
    <x v="3932"/>
    <x v="3927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x v="29"/>
    <b v="0"/>
    <x v="6"/>
    <x v="2792"/>
    <n v="6000.5"/>
    <x v="1"/>
    <x v="6"/>
  </r>
  <r>
    <x v="3933"/>
    <x v="3928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x v="8"/>
    <b v="0"/>
    <x v="6"/>
    <x v="2793"/>
    <n v="4051"/>
    <x v="1"/>
    <x v="6"/>
  </r>
  <r>
    <x v="3934"/>
    <x v="3929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x v="8"/>
    <b v="0"/>
    <x v="6"/>
    <x v="1324"/>
    <n v="2775"/>
    <x v="1"/>
    <x v="6"/>
  </r>
  <r>
    <x v="3935"/>
    <x v="3930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x v="23"/>
    <b v="0"/>
    <x v="6"/>
    <x v="2794"/>
    <n v="2157.5"/>
    <x v="1"/>
    <x v="6"/>
  </r>
  <r>
    <x v="3936"/>
    <x v="3931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x v="78"/>
    <b v="0"/>
    <x v="6"/>
    <x v="109"/>
    <n v="10000"/>
    <x v="1"/>
    <x v="6"/>
  </r>
  <r>
    <x v="3937"/>
    <x v="3932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x v="73"/>
    <b v="0"/>
    <x v="6"/>
    <x v="2795"/>
    <n v="2685"/>
    <x v="1"/>
    <x v="6"/>
  </r>
  <r>
    <x v="3938"/>
    <x v="393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x v="81"/>
    <b v="0"/>
    <x v="6"/>
    <x v="2796"/>
    <n v="1826"/>
    <x v="1"/>
    <x v="6"/>
  </r>
  <r>
    <x v="3939"/>
    <x v="3934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x v="29"/>
    <b v="0"/>
    <x v="6"/>
    <x v="370"/>
    <n v="2502.5"/>
    <x v="1"/>
    <x v="6"/>
  </r>
  <r>
    <x v="3940"/>
    <x v="3935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x v="84"/>
    <b v="0"/>
    <x v="6"/>
    <x v="881"/>
    <n v="2505.5"/>
    <x v="1"/>
    <x v="6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x v="84"/>
    <b v="0"/>
    <x v="6"/>
    <x v="957"/>
    <n v="2775"/>
    <x v="1"/>
    <x v="6"/>
  </r>
  <r>
    <x v="3942"/>
    <x v="3937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x v="78"/>
    <b v="0"/>
    <x v="6"/>
    <x v="109"/>
    <n v="600"/>
    <x v="1"/>
    <x v="6"/>
  </r>
  <r>
    <x v="3943"/>
    <x v="3938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x v="62"/>
    <b v="0"/>
    <x v="6"/>
    <x v="2797"/>
    <n v="3391"/>
    <x v="1"/>
    <x v="6"/>
  </r>
  <r>
    <x v="3944"/>
    <x v="3939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x v="78"/>
    <b v="0"/>
    <x v="6"/>
    <x v="109"/>
    <n v="2500"/>
    <x v="1"/>
    <x v="6"/>
  </r>
  <r>
    <x v="3945"/>
    <x v="3940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x v="29"/>
    <b v="0"/>
    <x v="6"/>
    <x v="1161"/>
    <n v="1002.5"/>
    <x v="1"/>
    <x v="6"/>
  </r>
  <r>
    <x v="3946"/>
    <x v="3941"/>
    <s v="Dr. Mecurio's is an original work of fantasy designed and written for the stage."/>
    <n v="6000"/>
    <n v="195"/>
    <x v="2"/>
    <x v="0"/>
    <x v="0"/>
    <n v="1425110400"/>
    <n v="1422388822"/>
    <b v="0"/>
    <x v="81"/>
    <b v="0"/>
    <x v="6"/>
    <x v="140"/>
    <n v="3097.5"/>
    <x v="1"/>
    <x v="6"/>
  </r>
  <r>
    <x v="3947"/>
    <x v="3942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x v="84"/>
    <b v="0"/>
    <x v="6"/>
    <x v="2798"/>
    <n v="1550.5"/>
    <x v="1"/>
    <x v="6"/>
  </r>
  <r>
    <x v="3948"/>
    <x v="3943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x v="78"/>
    <b v="0"/>
    <x v="6"/>
    <x v="109"/>
    <n v="15000"/>
    <x v="1"/>
    <x v="6"/>
  </r>
  <r>
    <x v="3949"/>
    <x v="3944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x v="58"/>
    <b v="0"/>
    <x v="6"/>
    <x v="2799"/>
    <n v="5788.5"/>
    <x v="1"/>
    <x v="6"/>
  </r>
  <r>
    <x v="3950"/>
    <x v="3945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x v="29"/>
    <b v="0"/>
    <x v="6"/>
    <x v="895"/>
    <n v="2012.5"/>
    <x v="1"/>
    <x v="6"/>
  </r>
  <r>
    <x v="3951"/>
    <x v="3946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x v="29"/>
    <b v="0"/>
    <x v="6"/>
    <x v="2800"/>
    <n v="100000.5"/>
    <x v="1"/>
    <x v="6"/>
  </r>
  <r>
    <x v="3952"/>
    <x v="3947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x v="29"/>
    <b v="0"/>
    <x v="6"/>
    <x v="2801"/>
    <n v="13012.5"/>
    <x v="1"/>
    <x v="6"/>
  </r>
  <r>
    <x v="3953"/>
    <x v="3948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x v="78"/>
    <b v="0"/>
    <x v="6"/>
    <x v="109"/>
    <n v="8800"/>
    <x v="1"/>
    <x v="6"/>
  </r>
  <r>
    <x v="3954"/>
    <x v="3949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x v="78"/>
    <b v="0"/>
    <x v="6"/>
    <x v="109"/>
    <n v="12500"/>
    <x v="1"/>
    <x v="6"/>
  </r>
  <r>
    <x v="3955"/>
    <x v="3950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x v="22"/>
    <b v="0"/>
    <x v="6"/>
    <x v="2802"/>
    <n v="1087.5"/>
    <x v="1"/>
    <x v="6"/>
  </r>
  <r>
    <x v="3956"/>
    <x v="3951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x v="78"/>
    <b v="0"/>
    <x v="6"/>
    <x v="109"/>
    <n v="2750"/>
    <x v="1"/>
    <x v="6"/>
  </r>
  <r>
    <x v="3957"/>
    <x v="3952"/>
    <s v="A play about something, or maybe nothing. Four actors depicting all 9 seasons of Seinfeld in 90 minutes."/>
    <n v="28000"/>
    <n v="7"/>
    <x v="2"/>
    <x v="0"/>
    <x v="0"/>
    <n v="1468020354"/>
    <n v="1464045954"/>
    <b v="0"/>
    <x v="29"/>
    <b v="0"/>
    <x v="6"/>
    <x v="1866"/>
    <n v="14003.5"/>
    <x v="1"/>
    <x v="6"/>
  </r>
  <r>
    <x v="3958"/>
    <x v="3953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x v="38"/>
    <b v="0"/>
    <x v="6"/>
    <x v="2803"/>
    <n v="1320.5"/>
    <x v="1"/>
    <x v="6"/>
  </r>
  <r>
    <x v="3959"/>
    <x v="3954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x v="8"/>
    <b v="0"/>
    <x v="6"/>
    <x v="695"/>
    <n v="746"/>
    <x v="1"/>
    <x v="6"/>
  </r>
  <r>
    <x v="3960"/>
    <x v="3955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x v="80"/>
    <b v="0"/>
    <x v="6"/>
    <x v="1835"/>
    <n v="1522.5"/>
    <x v="1"/>
    <x v="6"/>
  </r>
  <r>
    <x v="3961"/>
    <x v="3956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x v="84"/>
    <b v="0"/>
    <x v="6"/>
    <x v="714"/>
    <n v="2510.5"/>
    <x v="1"/>
    <x v="6"/>
  </r>
  <r>
    <x v="3962"/>
    <x v="3957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x v="83"/>
    <b v="0"/>
    <x v="6"/>
    <x v="2804"/>
    <n v="722.5"/>
    <x v="1"/>
    <x v="6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x v="78"/>
    <b v="0"/>
    <x v="6"/>
    <x v="109"/>
    <n v="5000"/>
    <x v="1"/>
    <x v="6"/>
  </r>
  <r>
    <x v="3964"/>
    <x v="3959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x v="83"/>
    <b v="0"/>
    <x v="6"/>
    <x v="2805"/>
    <n v="1063"/>
    <x v="1"/>
    <x v="6"/>
  </r>
  <r>
    <x v="3965"/>
    <x v="3960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x v="80"/>
    <b v="0"/>
    <x v="6"/>
    <x v="2100"/>
    <n v="1142.5"/>
    <x v="1"/>
    <x v="6"/>
  </r>
  <r>
    <x v="3966"/>
    <x v="3961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x v="84"/>
    <b v="0"/>
    <x v="6"/>
    <x v="722"/>
    <n v="3772.5"/>
    <x v="1"/>
    <x v="6"/>
  </r>
  <r>
    <x v="3967"/>
    <x v="3962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x v="73"/>
    <b v="0"/>
    <x v="6"/>
    <x v="2806"/>
    <n v="1055"/>
    <x v="1"/>
    <x v="6"/>
  </r>
  <r>
    <x v="3968"/>
    <x v="3963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x v="202"/>
    <b v="0"/>
    <x v="6"/>
    <x v="2807"/>
    <n v="2763.5"/>
    <x v="1"/>
    <x v="6"/>
  </r>
  <r>
    <x v="3969"/>
    <x v="3964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x v="79"/>
    <b v="0"/>
    <x v="6"/>
    <x v="2808"/>
    <n v="1518"/>
    <x v="1"/>
    <x v="6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x v="84"/>
    <b v="0"/>
    <x v="6"/>
    <x v="2809"/>
    <n v="7505.5"/>
    <x v="1"/>
    <x v="6"/>
  </r>
  <r>
    <x v="3971"/>
    <x v="3966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x v="79"/>
    <b v="0"/>
    <x v="6"/>
    <x v="2810"/>
    <n v="7068"/>
    <x v="1"/>
    <x v="6"/>
  </r>
  <r>
    <x v="3972"/>
    <x v="3967"/>
    <s v="We're a horror based theatre company in Oklahoma City beginning our first season of shows."/>
    <n v="1000"/>
    <n v="211"/>
    <x v="2"/>
    <x v="0"/>
    <x v="0"/>
    <n v="1423186634"/>
    <n v="1418002634"/>
    <b v="0"/>
    <x v="22"/>
    <b v="0"/>
    <x v="6"/>
    <x v="2811"/>
    <n v="605.5"/>
    <x v="1"/>
    <x v="6"/>
  </r>
  <r>
    <x v="3973"/>
    <x v="3968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x v="77"/>
    <b v="0"/>
    <x v="6"/>
    <x v="2812"/>
    <n v="4452.5"/>
    <x v="1"/>
    <x v="6"/>
  </r>
  <r>
    <x v="3974"/>
    <x v="3969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x v="202"/>
    <b v="0"/>
    <x v="6"/>
    <x v="2149"/>
    <n v="660"/>
    <x v="1"/>
    <x v="6"/>
  </r>
  <r>
    <x v="3975"/>
    <x v="3970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x v="78"/>
    <b v="0"/>
    <x v="6"/>
    <x v="109"/>
    <n v="339"/>
    <x v="1"/>
    <x v="6"/>
  </r>
  <r>
    <x v="3976"/>
    <x v="3971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x v="73"/>
    <b v="0"/>
    <x v="6"/>
    <x v="2813"/>
    <n v="960"/>
    <x v="1"/>
    <x v="6"/>
  </r>
  <r>
    <x v="3977"/>
    <x v="3972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x v="79"/>
    <b v="0"/>
    <x v="6"/>
    <x v="2814"/>
    <n v="45652.5"/>
    <x v="1"/>
    <x v="6"/>
  </r>
  <r>
    <x v="3978"/>
    <x v="3973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x v="22"/>
    <b v="0"/>
    <x v="6"/>
    <x v="2815"/>
    <n v="1107"/>
    <x v="1"/>
    <x v="6"/>
  </r>
  <r>
    <x v="3979"/>
    <x v="3974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x v="79"/>
    <b v="0"/>
    <x v="6"/>
    <x v="2816"/>
    <n v="3055"/>
    <x v="1"/>
    <x v="6"/>
  </r>
  <r>
    <x v="3980"/>
    <x v="3975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x v="63"/>
    <b v="0"/>
    <x v="6"/>
    <x v="2693"/>
    <n v="1475"/>
    <x v="1"/>
    <x v="6"/>
  </r>
  <r>
    <x v="3981"/>
    <x v="3357"/>
    <s v="A Theatrical Production Celebrating the Lebanese Culture and the Human Spirit in Time of War."/>
    <n v="30000"/>
    <n v="1225"/>
    <x v="2"/>
    <x v="0"/>
    <x v="0"/>
    <n v="1468729149"/>
    <n v="1463545149"/>
    <b v="0"/>
    <x v="63"/>
    <b v="0"/>
    <x v="6"/>
    <x v="2817"/>
    <n v="15612.5"/>
    <x v="1"/>
    <x v="6"/>
  </r>
  <r>
    <x v="3982"/>
    <x v="3976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x v="81"/>
    <b v="0"/>
    <x v="6"/>
    <x v="143"/>
    <n v="510"/>
    <x v="1"/>
    <x v="6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x v="67"/>
    <b v="0"/>
    <x v="6"/>
    <x v="2818"/>
    <n v="7508.5"/>
    <x v="1"/>
    <x v="6"/>
  </r>
  <r>
    <x v="3984"/>
    <x v="3978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x v="73"/>
    <b v="0"/>
    <x v="6"/>
    <x v="2819"/>
    <n v="797.5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x v="10"/>
    <b v="0"/>
    <x v="6"/>
    <x v="2803"/>
    <n v="1320.5"/>
    <x v="1"/>
    <x v="6"/>
  </r>
  <r>
    <x v="3986"/>
    <x v="3980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x v="62"/>
    <b v="0"/>
    <x v="6"/>
    <x v="2820"/>
    <n v="2744"/>
    <x v="1"/>
    <x v="6"/>
  </r>
  <r>
    <x v="3987"/>
    <x v="3981"/>
    <s v="Write Now 5 is a new writing festival in south east London promoting new work from emerging playwrights."/>
    <n v="400"/>
    <n v="151"/>
    <x v="2"/>
    <x v="1"/>
    <x v="1"/>
    <n v="1400278290"/>
    <n v="1399414290"/>
    <b v="0"/>
    <x v="62"/>
    <b v="0"/>
    <x v="6"/>
    <x v="2821"/>
    <n v="275.5"/>
    <x v="1"/>
    <x v="6"/>
  </r>
  <r>
    <x v="3988"/>
    <x v="3982"/>
    <s v="An evening of of stories based both in myth and truth."/>
    <n v="1500"/>
    <n v="32"/>
    <x v="2"/>
    <x v="0"/>
    <x v="0"/>
    <n v="1440813413"/>
    <n v="1439517413"/>
    <b v="0"/>
    <x v="80"/>
    <b v="0"/>
    <x v="6"/>
    <x v="2822"/>
    <n v="766"/>
    <x v="1"/>
    <x v="6"/>
  </r>
  <r>
    <x v="3989"/>
    <x v="3983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x v="78"/>
    <b v="0"/>
    <x v="6"/>
    <x v="109"/>
    <n v="1500"/>
    <x v="1"/>
    <x v="6"/>
  </r>
  <r>
    <x v="3990"/>
    <x v="3984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x v="83"/>
    <b v="0"/>
    <x v="6"/>
    <x v="2823"/>
    <n v="859.5"/>
    <x v="1"/>
    <x v="6"/>
  </r>
  <r>
    <x v="3991"/>
    <x v="3985"/>
    <s v="North Texas first actor-driven theatre company needs your help"/>
    <n v="500"/>
    <n v="100"/>
    <x v="2"/>
    <x v="0"/>
    <x v="0"/>
    <n v="1433086082"/>
    <n v="1430494082"/>
    <b v="0"/>
    <x v="29"/>
    <b v="0"/>
    <x v="6"/>
    <x v="143"/>
    <n v="300"/>
    <x v="1"/>
    <x v="6"/>
  </r>
  <r>
    <x v="3992"/>
    <x v="3986"/>
    <s v="A richly textured and intellectually powerful social commentary about family, community and America."/>
    <n v="10000"/>
    <n v="541"/>
    <x v="2"/>
    <x v="0"/>
    <x v="0"/>
    <n v="1449876859"/>
    <n v="1444689259"/>
    <b v="0"/>
    <x v="82"/>
    <b v="0"/>
    <x v="6"/>
    <x v="2824"/>
    <n v="5270.5"/>
    <x v="1"/>
    <x v="6"/>
  </r>
  <r>
    <x v="3993"/>
    <x v="3987"/>
    <s v="I am seeking to turn my collection of urban poetry into a stage play. My desire is to inspire victims to heal."/>
    <n v="50000"/>
    <n v="3"/>
    <x v="2"/>
    <x v="0"/>
    <x v="0"/>
    <n v="1431549912"/>
    <n v="1428957912"/>
    <b v="0"/>
    <x v="29"/>
    <b v="0"/>
    <x v="6"/>
    <x v="130"/>
    <n v="25001.5"/>
    <x v="1"/>
    <x v="6"/>
  </r>
  <r>
    <x v="3994"/>
    <x v="3988"/>
    <s v="Is Henson willing to dare risk a theatrical speaking tour of his North Pole adventures...and more?"/>
    <n v="2000"/>
    <n v="5"/>
    <x v="2"/>
    <x v="0"/>
    <x v="0"/>
    <n v="1405761690"/>
    <n v="1403169690"/>
    <b v="0"/>
    <x v="29"/>
    <b v="0"/>
    <x v="6"/>
    <x v="1161"/>
    <n v="1002.5"/>
    <x v="1"/>
    <x v="6"/>
  </r>
  <r>
    <x v="3995"/>
    <x v="3989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x v="80"/>
    <b v="0"/>
    <x v="6"/>
    <x v="2825"/>
    <n v="135"/>
    <x v="1"/>
    <x v="6"/>
  </r>
  <r>
    <x v="3996"/>
    <x v="3990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x v="57"/>
    <b v="0"/>
    <x v="6"/>
    <x v="2826"/>
    <n v="1748.5"/>
    <x v="1"/>
    <x v="6"/>
  </r>
  <r>
    <x v="3997"/>
    <x v="3991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x v="78"/>
    <b v="0"/>
    <x v="6"/>
    <x v="109"/>
    <n v="1500"/>
    <x v="1"/>
    <x v="6"/>
  </r>
  <r>
    <x v="3998"/>
    <x v="3992"/>
    <s v="Forsaken Angels, a powerful new play by William Leary, author of DCMTA's Best Of 2014 Play Masquerade."/>
    <n v="1250"/>
    <n v="715"/>
    <x v="2"/>
    <x v="0"/>
    <x v="0"/>
    <n v="1427580426"/>
    <n v="1424992026"/>
    <b v="0"/>
    <x v="8"/>
    <b v="0"/>
    <x v="6"/>
    <x v="2827"/>
    <n v="982.5"/>
    <x v="1"/>
    <x v="6"/>
  </r>
  <r>
    <x v="3999"/>
    <x v="3993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x v="25"/>
    <b v="0"/>
    <x v="6"/>
    <x v="2828"/>
    <n v="4078"/>
    <x v="1"/>
    <x v="6"/>
  </r>
  <r>
    <x v="4000"/>
    <x v="3994"/>
    <s v="An Enticing Trip into the World of Assisted Dying"/>
    <n v="8000"/>
    <n v="10"/>
    <x v="2"/>
    <x v="0"/>
    <x v="0"/>
    <n v="1462631358"/>
    <n v="1457450958"/>
    <b v="0"/>
    <x v="29"/>
    <b v="0"/>
    <x v="6"/>
    <x v="415"/>
    <n v="4005"/>
    <x v="1"/>
    <x v="6"/>
  </r>
  <r>
    <x v="4001"/>
    <x v="3995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x v="25"/>
    <b v="0"/>
    <x v="6"/>
    <x v="2821"/>
    <n v="826.5"/>
    <x v="1"/>
    <x v="6"/>
  </r>
  <r>
    <x v="4002"/>
    <x v="3996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x v="80"/>
    <b v="0"/>
    <x v="6"/>
    <x v="1861"/>
    <n v="636.5"/>
    <x v="1"/>
    <x v="6"/>
  </r>
  <r>
    <x v="4003"/>
    <x v="3997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x v="84"/>
    <b v="0"/>
    <x v="6"/>
    <x v="2829"/>
    <n v="1100.5"/>
    <x v="1"/>
    <x v="6"/>
  </r>
  <r>
    <x v="4004"/>
    <x v="3998"/>
    <s v="Help Launch The Queen Into South Florida!"/>
    <n v="500"/>
    <n v="1"/>
    <x v="2"/>
    <x v="0"/>
    <x v="0"/>
    <n v="1412740457"/>
    <n v="1410148457"/>
    <b v="0"/>
    <x v="29"/>
    <b v="0"/>
    <x v="6"/>
    <x v="418"/>
    <n v="250.5"/>
    <x v="1"/>
    <x v="6"/>
  </r>
  <r>
    <x v="4005"/>
    <x v="3999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x v="84"/>
    <b v="0"/>
    <x v="6"/>
    <x v="843"/>
    <n v="1520"/>
    <x v="1"/>
    <x v="6"/>
  </r>
  <r>
    <x v="4006"/>
    <x v="4000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x v="29"/>
    <b v="0"/>
    <x v="6"/>
    <x v="440"/>
    <n v="15001"/>
    <x v="1"/>
    <x v="6"/>
  </r>
  <r>
    <x v="4007"/>
    <x v="3988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x v="29"/>
    <b v="0"/>
    <x v="6"/>
    <x v="1161"/>
    <n v="1002.5"/>
    <x v="1"/>
    <x v="6"/>
  </r>
  <r>
    <x v="4008"/>
    <x v="4001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x v="80"/>
    <b v="0"/>
    <x v="6"/>
    <x v="733"/>
    <n v="530"/>
    <x v="1"/>
    <x v="6"/>
  </r>
  <r>
    <x v="4009"/>
    <x v="4002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x v="83"/>
    <b v="0"/>
    <x v="6"/>
    <x v="2830"/>
    <n v="1002.5"/>
    <x v="1"/>
    <x v="6"/>
  </r>
  <r>
    <x v="4010"/>
    <x v="4003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x v="44"/>
    <b v="0"/>
    <x v="6"/>
    <x v="2831"/>
    <n v="4471"/>
    <x v="1"/>
    <x v="6"/>
  </r>
  <r>
    <x v="4011"/>
    <x v="4004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x v="80"/>
    <b v="0"/>
    <x v="6"/>
    <x v="2832"/>
    <n v="134.5"/>
    <x v="1"/>
    <x v="6"/>
  </r>
  <r>
    <x v="4012"/>
    <x v="4005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x v="78"/>
    <b v="0"/>
    <x v="6"/>
    <x v="109"/>
    <n v="287.5"/>
    <x v="1"/>
    <x v="6"/>
  </r>
  <r>
    <x v="4013"/>
    <x v="4006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x v="84"/>
    <b v="0"/>
    <x v="6"/>
    <x v="698"/>
    <n v="1013"/>
    <x v="1"/>
    <x v="6"/>
  </r>
  <r>
    <x v="4014"/>
    <x v="4007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x v="78"/>
    <b v="0"/>
    <x v="6"/>
    <x v="109"/>
    <n v="4500"/>
    <x v="1"/>
    <x v="6"/>
  </r>
  <r>
    <x v="4015"/>
    <x v="4008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x v="29"/>
    <b v="0"/>
    <x v="6"/>
    <x v="107"/>
    <n v="3500.5"/>
    <x v="1"/>
    <x v="6"/>
  </r>
  <r>
    <x v="4016"/>
    <x v="4009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x v="63"/>
    <b v="0"/>
    <x v="6"/>
    <x v="111"/>
    <n v="285"/>
    <x v="1"/>
    <x v="6"/>
  </r>
  <r>
    <x v="4017"/>
    <x v="4010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x v="84"/>
    <b v="0"/>
    <x v="6"/>
    <x v="857"/>
    <n v="5052.5"/>
    <x v="1"/>
    <x v="6"/>
  </r>
  <r>
    <x v="4018"/>
    <x v="4011"/>
    <s v="Funding for a production of Time Please at the Brighton Fringe 2017... and beyond."/>
    <n v="1500"/>
    <n v="130"/>
    <x v="2"/>
    <x v="1"/>
    <x v="1"/>
    <n v="1475877108"/>
    <n v="1473285108"/>
    <b v="0"/>
    <x v="80"/>
    <b v="0"/>
    <x v="6"/>
    <x v="2780"/>
    <n v="815"/>
    <x v="1"/>
    <x v="6"/>
  </r>
  <r>
    <x v="4019"/>
    <x v="4012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x v="80"/>
    <b v="0"/>
    <x v="6"/>
    <x v="2833"/>
    <n v="1764.5"/>
    <x v="1"/>
    <x v="6"/>
  </r>
  <r>
    <x v="4020"/>
    <x v="4013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x v="83"/>
    <b v="0"/>
    <x v="6"/>
    <x v="2834"/>
    <n v="350"/>
    <x v="1"/>
    <x v="6"/>
  </r>
  <r>
    <x v="4021"/>
    <x v="4014"/>
    <s v="Help a group of actors end bigotry in Houston, TX by supporting a  full production of Angels in America."/>
    <n v="15000"/>
    <n v="125"/>
    <x v="2"/>
    <x v="0"/>
    <x v="0"/>
    <n v="1414360358"/>
    <n v="1409176358"/>
    <b v="0"/>
    <x v="84"/>
    <b v="0"/>
    <x v="6"/>
    <x v="1863"/>
    <n v="7562.5"/>
    <x v="1"/>
    <x v="6"/>
  </r>
  <r>
    <x v="4022"/>
    <x v="4015"/>
    <s v="Help us produce a video of the first Original Pronunciation Merchant of Venice."/>
    <n v="18000"/>
    <n v="12521"/>
    <x v="2"/>
    <x v="0"/>
    <x v="0"/>
    <n v="1422759240"/>
    <n v="1418824867"/>
    <b v="0"/>
    <x v="438"/>
    <b v="0"/>
    <x v="6"/>
    <x v="2835"/>
    <n v="15260.5"/>
    <x v="1"/>
    <x v="6"/>
  </r>
  <r>
    <x v="4023"/>
    <x v="4016"/>
    <s v="An original gospel stage play that explores the pain and hurt caused by those who struggle to forgive others!"/>
    <n v="7000"/>
    <n v="0"/>
    <x v="2"/>
    <x v="0"/>
    <x v="0"/>
    <n v="1458860363"/>
    <n v="1454975963"/>
    <b v="0"/>
    <x v="78"/>
    <b v="0"/>
    <x v="6"/>
    <x v="109"/>
    <n v="3500"/>
    <x v="1"/>
    <x v="6"/>
  </r>
  <r>
    <x v="4024"/>
    <x v="4017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x v="29"/>
    <b v="0"/>
    <x v="6"/>
    <x v="2372"/>
    <n v="405"/>
    <x v="1"/>
    <x v="6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x v="80"/>
    <b v="0"/>
    <x v="6"/>
    <x v="152"/>
    <n v="2625"/>
    <x v="1"/>
    <x v="6"/>
  </r>
  <r>
    <x v="4026"/>
    <x v="4019"/>
    <s v="This is a play that voices that stories of the black experience in America using spoken word, song and dance."/>
    <n v="4000"/>
    <n v="0"/>
    <x v="2"/>
    <x v="0"/>
    <x v="0"/>
    <n v="1449247439"/>
    <n v="1444059839"/>
    <b v="0"/>
    <x v="78"/>
    <b v="0"/>
    <x v="6"/>
    <x v="109"/>
    <n v="2000"/>
    <x v="1"/>
    <x v="6"/>
  </r>
  <r>
    <x v="4027"/>
    <x v="4020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x v="63"/>
    <b v="0"/>
    <x v="6"/>
    <x v="2836"/>
    <n v="1607.5"/>
    <x v="1"/>
    <x v="6"/>
  </r>
  <r>
    <x v="4028"/>
    <x v="4021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x v="202"/>
    <b v="0"/>
    <x v="6"/>
    <x v="2837"/>
    <n v="1280.5"/>
    <x v="1"/>
    <x v="6"/>
  </r>
  <r>
    <x v="4029"/>
    <x v="4022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x v="78"/>
    <b v="0"/>
    <x v="6"/>
    <x v="109"/>
    <n v="10000"/>
    <x v="1"/>
    <x v="6"/>
  </r>
  <r>
    <x v="4030"/>
    <x v="4023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x v="79"/>
    <b v="0"/>
    <x v="6"/>
    <x v="149"/>
    <n v="1450"/>
    <x v="1"/>
    <x v="6"/>
  </r>
  <r>
    <x v="4031"/>
    <x v="4024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x v="78"/>
    <b v="0"/>
    <x v="6"/>
    <x v="109"/>
    <n v="2500"/>
    <x v="1"/>
    <x v="6"/>
  </r>
  <r>
    <x v="4032"/>
    <x v="4025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x v="63"/>
    <b v="0"/>
    <x v="6"/>
    <x v="2838"/>
    <n v="3230.5"/>
    <x v="1"/>
    <x v="6"/>
  </r>
  <r>
    <x v="4033"/>
    <x v="4026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x v="225"/>
    <b v="0"/>
    <x v="6"/>
    <x v="2839"/>
    <n v="15020.994999999999"/>
    <x v="1"/>
    <x v="6"/>
  </r>
  <r>
    <x v="4034"/>
    <x v="4027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x v="84"/>
    <b v="0"/>
    <x v="6"/>
    <x v="2840"/>
    <n v="6850"/>
    <x v="1"/>
    <x v="6"/>
  </r>
  <r>
    <x v="4035"/>
    <x v="4028"/>
    <s v="&quot;Stories are where you go to look for the truth of your own life.&quot; (Frank Delaney)"/>
    <n v="10000"/>
    <n v="3685"/>
    <x v="2"/>
    <x v="0"/>
    <x v="0"/>
    <n v="1413925887"/>
    <n v="1411333887"/>
    <b v="0"/>
    <x v="20"/>
    <b v="0"/>
    <x v="6"/>
    <x v="2841"/>
    <n v="6842.5"/>
    <x v="1"/>
    <x v="6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x v="57"/>
    <b v="0"/>
    <x v="6"/>
    <x v="2842"/>
    <n v="4411.5"/>
    <x v="1"/>
    <x v="6"/>
  </r>
  <r>
    <x v="4037"/>
    <x v="4030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x v="84"/>
    <b v="0"/>
    <x v="6"/>
    <x v="2843"/>
    <n v="390"/>
    <x v="1"/>
    <x v="6"/>
  </r>
  <r>
    <x v="4038"/>
    <x v="4031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x v="80"/>
    <b v="0"/>
    <x v="6"/>
    <x v="2844"/>
    <n v="1400.5"/>
    <x v="1"/>
    <x v="6"/>
  </r>
  <r>
    <x v="4039"/>
    <x v="4032"/>
    <s v="Help stage an original One Act Play that brings awareness to Alzheimer's in its debut performance."/>
    <n v="500"/>
    <n v="300"/>
    <x v="2"/>
    <x v="0"/>
    <x v="0"/>
    <n v="1448949540"/>
    <n v="1446048367"/>
    <b v="0"/>
    <x v="81"/>
    <b v="0"/>
    <x v="6"/>
    <x v="137"/>
    <n v="400"/>
    <x v="1"/>
    <x v="6"/>
  </r>
  <r>
    <x v="4040"/>
    <x v="4033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x v="84"/>
    <b v="0"/>
    <x v="6"/>
    <x v="1296"/>
    <n v="5250"/>
    <x v="1"/>
    <x v="6"/>
  </r>
  <r>
    <x v="4041"/>
    <x v="4034"/>
    <s v="A bold, colouful, vibrant play centred around the last remaining monarchy of Africa."/>
    <n v="5000"/>
    <n v="21"/>
    <x v="2"/>
    <x v="1"/>
    <x v="1"/>
    <n v="1473160954"/>
    <n v="1467976954"/>
    <b v="0"/>
    <x v="84"/>
    <b v="0"/>
    <x v="6"/>
    <x v="714"/>
    <n v="2510.5"/>
    <x v="1"/>
    <x v="6"/>
  </r>
  <r>
    <x v="4042"/>
    <x v="4035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x v="83"/>
    <b v="0"/>
    <x v="6"/>
    <x v="2845"/>
    <n v="5010.5"/>
    <x v="1"/>
    <x v="6"/>
  </r>
  <r>
    <x v="4043"/>
    <x v="4036"/>
    <s v="This could be my last play, need to bring my son out to see it before it's over.  Need to fly him here from BC"/>
    <n v="300"/>
    <n v="0"/>
    <x v="2"/>
    <x v="5"/>
    <x v="5"/>
    <n v="1416524325"/>
    <n v="1415228325"/>
    <b v="0"/>
    <x v="78"/>
    <b v="0"/>
    <x v="6"/>
    <x v="109"/>
    <n v="150"/>
    <x v="1"/>
    <x v="6"/>
  </r>
  <r>
    <x v="4044"/>
    <x v="4037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x v="80"/>
    <b v="0"/>
    <x v="6"/>
    <x v="2846"/>
    <n v="412.5"/>
    <x v="1"/>
    <x v="6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x v="29"/>
    <b v="0"/>
    <x v="6"/>
    <x v="459"/>
    <n v="2500.5"/>
    <x v="1"/>
    <x v="6"/>
  </r>
  <r>
    <x v="4046"/>
    <x v="4039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x v="8"/>
    <b v="0"/>
    <x v="6"/>
    <x v="2847"/>
    <n v="3030"/>
    <x v="1"/>
    <x v="6"/>
  </r>
  <r>
    <x v="4047"/>
    <x v="4040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x v="80"/>
    <b v="0"/>
    <x v="6"/>
    <x v="727"/>
    <n v="2555"/>
    <x v="1"/>
    <x v="6"/>
  </r>
  <r>
    <x v="4048"/>
    <x v="4041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x v="110"/>
    <b v="0"/>
    <x v="6"/>
    <x v="2848"/>
    <n v="10000.5"/>
    <x v="1"/>
    <x v="6"/>
  </r>
  <r>
    <x v="4049"/>
    <x v="4042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x v="29"/>
    <b v="0"/>
    <x v="6"/>
    <x v="123"/>
    <n v="10008"/>
    <x v="1"/>
    <x v="6"/>
  </r>
  <r>
    <x v="4050"/>
    <x v="4043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x v="29"/>
    <b v="0"/>
    <x v="6"/>
    <x v="2730"/>
    <n v="750.5"/>
    <x v="1"/>
    <x v="6"/>
  </r>
  <r>
    <x v="4051"/>
    <x v="4044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x v="78"/>
    <b v="0"/>
    <x v="6"/>
    <x v="109"/>
    <n v="250"/>
    <x v="1"/>
    <x v="6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x v="62"/>
    <b v="0"/>
    <x v="6"/>
    <x v="2849"/>
    <n v="2063"/>
    <x v="1"/>
    <x v="6"/>
  </r>
  <r>
    <x v="4053"/>
    <x v="4046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x v="84"/>
    <b v="0"/>
    <x v="6"/>
    <x v="2850"/>
    <n v="305"/>
    <x v="1"/>
    <x v="6"/>
  </r>
  <r>
    <x v="4054"/>
    <x v="4047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x v="78"/>
    <b v="0"/>
    <x v="6"/>
    <x v="109"/>
    <n v="4440"/>
    <x v="1"/>
    <x v="6"/>
  </r>
  <r>
    <x v="4055"/>
    <x v="4048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x v="64"/>
    <b v="0"/>
    <x v="6"/>
    <x v="2851"/>
    <n v="2940.5"/>
    <x v="1"/>
    <x v="6"/>
  </r>
  <r>
    <x v="4056"/>
    <x v="4049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x v="82"/>
    <b v="0"/>
    <x v="6"/>
    <x v="2852"/>
    <n v="1147.5"/>
    <x v="1"/>
    <x v="6"/>
  </r>
  <r>
    <x v="4057"/>
    <x v="4050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x v="79"/>
    <b v="0"/>
    <x v="6"/>
    <x v="2853"/>
    <n v="2137.5"/>
    <x v="1"/>
    <x v="6"/>
  </r>
  <r>
    <x v="4058"/>
    <x v="4051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x v="80"/>
    <b v="0"/>
    <x v="6"/>
    <x v="2854"/>
    <n v="1922.5"/>
    <x v="1"/>
    <x v="6"/>
  </r>
  <r>
    <x v="4059"/>
    <x v="4052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x v="63"/>
    <b v="0"/>
    <x v="6"/>
    <x v="453"/>
    <n v="5125"/>
    <x v="1"/>
    <x v="6"/>
  </r>
  <r>
    <x v="4060"/>
    <x v="4053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x v="81"/>
    <b v="0"/>
    <x v="6"/>
    <x v="2855"/>
    <n v="5142.5"/>
    <x v="1"/>
    <x v="6"/>
  </r>
  <r>
    <x v="4061"/>
    <x v="4054"/>
    <s v="SKYLAR'S SYNDROME is a tremendous psychodrama by master playwright Gavin Kayner!"/>
    <n v="525"/>
    <n v="0"/>
    <x v="2"/>
    <x v="0"/>
    <x v="0"/>
    <n v="1461205423"/>
    <n v="1456025023"/>
    <b v="0"/>
    <x v="78"/>
    <b v="0"/>
    <x v="6"/>
    <x v="109"/>
    <n v="262.5"/>
    <x v="1"/>
    <x v="6"/>
  </r>
  <r>
    <x v="4062"/>
    <x v="4055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x v="83"/>
    <b v="0"/>
    <x v="6"/>
    <x v="2856"/>
    <n v="10245"/>
    <x v="1"/>
    <x v="6"/>
  </r>
  <r>
    <x v="4063"/>
    <x v="4056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x v="82"/>
    <b v="0"/>
    <x v="6"/>
    <x v="2857"/>
    <n v="4817.5"/>
    <x v="1"/>
    <x v="6"/>
  </r>
  <r>
    <x v="4064"/>
    <x v="4057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x v="79"/>
    <b v="0"/>
    <x v="6"/>
    <x v="2858"/>
    <n v="1192.5"/>
    <x v="1"/>
    <x v="6"/>
  </r>
  <r>
    <x v="4065"/>
    <x v="4058"/>
    <s v="A classical/ fantasy version of midsummers done by professionally trained actors in Tulsa!"/>
    <n v="4000"/>
    <n v="27"/>
    <x v="2"/>
    <x v="0"/>
    <x v="0"/>
    <n v="1407883811"/>
    <n v="1405291811"/>
    <b v="0"/>
    <x v="80"/>
    <b v="0"/>
    <x v="6"/>
    <x v="2859"/>
    <n v="2013.5"/>
    <x v="1"/>
    <x v="6"/>
  </r>
  <r>
    <x v="4066"/>
    <x v="4059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x v="29"/>
    <b v="0"/>
    <x v="6"/>
    <x v="874"/>
    <n v="7512.5"/>
    <x v="1"/>
    <x v="6"/>
  </r>
  <r>
    <x v="4067"/>
    <x v="4060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x v="57"/>
    <b v="0"/>
    <x v="6"/>
    <x v="2860"/>
    <n v="4022.5"/>
    <x v="1"/>
    <x v="6"/>
  </r>
  <r>
    <x v="4068"/>
    <x v="4061"/>
    <s v="Be a PRODUCER of the Original stage play BELLE DAME SANS MERCI by Michael Fenlason! :-) :-( !"/>
    <n v="3495"/>
    <n v="34.950000000000003"/>
    <x v="2"/>
    <x v="0"/>
    <x v="0"/>
    <n v="1484348700"/>
    <n v="1481756855"/>
    <b v="0"/>
    <x v="29"/>
    <b v="0"/>
    <x v="6"/>
    <x v="460"/>
    <n v="1764.9749999999999"/>
    <x v="1"/>
    <x v="6"/>
  </r>
  <r>
    <x v="4069"/>
    <x v="4062"/>
    <s v="'The Pendulum Swings' is a three-act dark comedy that sees Frank and Michael await their execution on Death Row."/>
    <n v="1250"/>
    <n v="430"/>
    <x v="2"/>
    <x v="1"/>
    <x v="1"/>
    <n v="1425124800"/>
    <n v="1421596356"/>
    <b v="0"/>
    <x v="62"/>
    <b v="0"/>
    <x v="6"/>
    <x v="2861"/>
    <n v="840"/>
    <x v="1"/>
    <x v="6"/>
  </r>
  <r>
    <x v="4070"/>
    <x v="4063"/>
    <s v="V-Day Southern Utah University 2015 and Second Studio Players presents: The Vagina Monologues"/>
    <n v="1000"/>
    <n v="165"/>
    <x v="2"/>
    <x v="0"/>
    <x v="0"/>
    <n v="1425178800"/>
    <n v="1422374420"/>
    <b v="0"/>
    <x v="79"/>
    <b v="0"/>
    <x v="6"/>
    <x v="2862"/>
    <n v="582.5"/>
    <x v="1"/>
    <x v="6"/>
  </r>
  <r>
    <x v="4071"/>
    <x v="4064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x v="78"/>
    <b v="0"/>
    <x v="6"/>
    <x v="109"/>
    <n v="10000"/>
    <x v="1"/>
    <x v="6"/>
  </r>
  <r>
    <x v="4072"/>
    <x v="4065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x v="84"/>
    <b v="0"/>
    <x v="6"/>
    <x v="177"/>
    <n v="502"/>
    <x v="1"/>
    <x v="6"/>
  </r>
  <r>
    <x v="4073"/>
    <x v="4066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x v="84"/>
    <b v="0"/>
    <x v="6"/>
    <x v="2863"/>
    <n v="1768.5"/>
    <x v="1"/>
    <x v="6"/>
  </r>
  <r>
    <x v="4074"/>
    <x v="4067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x v="64"/>
    <b v="0"/>
    <x v="6"/>
    <x v="2864"/>
    <n v="1742.5"/>
    <x v="1"/>
    <x v="6"/>
  </r>
  <r>
    <x v="4075"/>
    <x v="4068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x v="62"/>
    <b v="0"/>
    <x v="6"/>
    <x v="2865"/>
    <n v="1288"/>
    <x v="1"/>
    <x v="6"/>
  </r>
  <r>
    <x v="4076"/>
    <x v="4069"/>
    <s v="A play to raise awareness about the effects of mental illness on a military family in the Cold War area."/>
    <n v="700"/>
    <n v="0"/>
    <x v="2"/>
    <x v="0"/>
    <x v="0"/>
    <n v="1413921060"/>
    <n v="1411499149"/>
    <b v="0"/>
    <x v="78"/>
    <b v="0"/>
    <x v="6"/>
    <x v="109"/>
    <n v="350"/>
    <x v="1"/>
    <x v="6"/>
  </r>
  <r>
    <x v="4077"/>
    <x v="4070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x v="79"/>
    <b v="0"/>
    <x v="6"/>
    <x v="1159"/>
    <n v="8167.5"/>
    <x v="1"/>
    <x v="6"/>
  </r>
  <r>
    <x v="4078"/>
    <x v="4071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x v="78"/>
    <b v="0"/>
    <x v="6"/>
    <x v="109"/>
    <n v="125"/>
    <x v="1"/>
    <x v="6"/>
  </r>
  <r>
    <x v="4079"/>
    <x v="4072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x v="29"/>
    <b v="0"/>
    <x v="6"/>
    <x v="874"/>
    <n v="1502.5"/>
    <x v="1"/>
    <x v="6"/>
  </r>
  <r>
    <x v="4080"/>
    <x v="4073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x v="78"/>
    <b v="0"/>
    <x v="6"/>
    <x v="109"/>
    <n v="1500"/>
    <x v="1"/>
    <x v="6"/>
  </r>
  <r>
    <x v="4081"/>
    <x v="4074"/>
    <s v="AUTheatreWing is a student theatre association fostering the development of the dramatic arts at our university."/>
    <n v="2224"/>
    <n v="350"/>
    <x v="2"/>
    <x v="0"/>
    <x v="0"/>
    <n v="1425819425"/>
    <n v="1423231025"/>
    <b v="0"/>
    <x v="8"/>
    <b v="0"/>
    <x v="6"/>
    <x v="2866"/>
    <n v="1287"/>
    <x v="1"/>
    <x v="6"/>
  </r>
  <r>
    <x v="4082"/>
    <x v="4075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x v="84"/>
    <b v="0"/>
    <x v="6"/>
    <x v="172"/>
    <n v="76.5"/>
    <x v="1"/>
    <x v="6"/>
  </r>
  <r>
    <x v="4083"/>
    <x v="4076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x v="79"/>
    <b v="0"/>
    <x v="6"/>
    <x v="2867"/>
    <n v="2129.5"/>
    <x v="1"/>
    <x v="6"/>
  </r>
  <r>
    <x v="4084"/>
    <x v="4077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x v="29"/>
    <b v="0"/>
    <x v="6"/>
    <x v="119"/>
    <n v="1505"/>
    <x v="1"/>
    <x v="6"/>
  </r>
  <r>
    <x v="4085"/>
    <x v="4078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x v="29"/>
    <b v="0"/>
    <x v="6"/>
    <x v="2785"/>
    <n v="1755"/>
    <x v="1"/>
    <x v="6"/>
  </r>
  <r>
    <x v="4086"/>
    <x v="4079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x v="81"/>
    <b v="0"/>
    <x v="6"/>
    <x v="609"/>
    <n v="523.5"/>
    <x v="1"/>
    <x v="6"/>
  </r>
  <r>
    <x v="4087"/>
    <x v="4080"/>
    <s v="Comedy Stage Play"/>
    <n v="9600"/>
    <n v="0"/>
    <x v="2"/>
    <x v="0"/>
    <x v="0"/>
    <n v="1468777786"/>
    <n v="1466185786"/>
    <b v="0"/>
    <x v="78"/>
    <b v="0"/>
    <x v="6"/>
    <x v="109"/>
    <n v="4800"/>
    <x v="1"/>
    <x v="6"/>
  </r>
  <r>
    <x v="4088"/>
    <x v="4081"/>
    <s v="Young persons theatre company working in deprived area seeking funding for children's theatrical production."/>
    <n v="2000"/>
    <n v="216"/>
    <x v="2"/>
    <x v="1"/>
    <x v="1"/>
    <n v="1421403960"/>
    <n v="1418827324"/>
    <b v="0"/>
    <x v="83"/>
    <b v="0"/>
    <x v="6"/>
    <x v="2868"/>
    <n v="1108"/>
    <x v="1"/>
    <x v="6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x v="22"/>
    <b v="0"/>
    <x v="6"/>
    <x v="2869"/>
    <n v="2620"/>
    <x v="1"/>
    <x v="6"/>
  </r>
  <r>
    <x v="4090"/>
    <x v="4083"/>
    <s v="A gripping re-enactment of a true breast cancer survival story, highlighted with inspiration and laughter!"/>
    <n v="1000"/>
    <n v="32"/>
    <x v="2"/>
    <x v="0"/>
    <x v="0"/>
    <n v="1438959600"/>
    <n v="1437754137"/>
    <b v="0"/>
    <x v="83"/>
    <b v="0"/>
    <x v="6"/>
    <x v="416"/>
    <n v="516"/>
    <x v="1"/>
    <x v="6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x v="22"/>
    <b v="0"/>
    <x v="6"/>
    <x v="782"/>
    <n v="902"/>
    <x v="1"/>
    <x v="6"/>
  </r>
  <r>
    <x v="4092"/>
    <x v="4085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x v="29"/>
    <b v="0"/>
    <x v="6"/>
    <x v="2870"/>
    <n v="55010"/>
    <x v="1"/>
    <x v="6"/>
  </r>
  <r>
    <x v="4093"/>
    <x v="4086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x v="80"/>
    <b v="0"/>
    <x v="6"/>
    <x v="365"/>
    <n v="1280"/>
    <x v="1"/>
    <x v="6"/>
  </r>
  <r>
    <x v="4094"/>
    <x v="4087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x v="22"/>
    <b v="0"/>
    <x v="6"/>
    <x v="2176"/>
    <n v="1365"/>
    <x v="1"/>
    <x v="6"/>
  </r>
  <r>
    <x v="4095"/>
    <x v="4088"/>
    <s v="Proyecto teatral dirigido por MartÃ­n Acosta que habla y reflexiona sobre el amor y su naturaleza."/>
    <n v="30000"/>
    <n v="800"/>
    <x v="2"/>
    <x v="14"/>
    <x v="10"/>
    <n v="1482108350"/>
    <n v="1479516350"/>
    <b v="0"/>
    <x v="29"/>
    <b v="0"/>
    <x v="6"/>
    <x v="129"/>
    <n v="15400"/>
    <x v="1"/>
    <x v="6"/>
  </r>
  <r>
    <x v="4096"/>
    <x v="4089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x v="81"/>
    <b v="0"/>
    <x v="6"/>
    <x v="2843"/>
    <n v="1950"/>
    <x v="1"/>
    <x v="6"/>
  </r>
  <r>
    <x v="4097"/>
    <x v="4090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x v="78"/>
    <b v="0"/>
    <x v="6"/>
    <x v="109"/>
    <n v="5000"/>
    <x v="1"/>
    <x v="6"/>
  </r>
  <r>
    <x v="4098"/>
    <x v="4091"/>
    <s v="Community Youth play, written by and performed by the youth about finding joy in the simple things in life"/>
    <n v="75000"/>
    <n v="0"/>
    <x v="2"/>
    <x v="0"/>
    <x v="0"/>
    <n v="1465060797"/>
    <n v="1462468797"/>
    <b v="0"/>
    <x v="78"/>
    <b v="0"/>
    <x v="6"/>
    <x v="109"/>
    <n v="37500"/>
    <x v="1"/>
    <x v="6"/>
  </r>
  <r>
    <x v="4099"/>
    <x v="4092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x v="29"/>
    <b v="0"/>
    <x v="6"/>
    <x v="2871"/>
    <n v="2275"/>
    <x v="1"/>
    <x v="6"/>
  </r>
  <r>
    <x v="4100"/>
    <x v="4093"/>
    <s v="How does war change a family?  A peek into one family's kitchen as their soldier fights in Iraq."/>
    <n v="270"/>
    <n v="0"/>
    <x v="2"/>
    <x v="0"/>
    <x v="0"/>
    <n v="1414205990"/>
    <n v="1413341990"/>
    <b v="0"/>
    <x v="78"/>
    <b v="0"/>
    <x v="6"/>
    <x v="109"/>
    <n v="135"/>
    <x v="1"/>
    <x v="6"/>
  </r>
  <r>
    <x v="4101"/>
    <x v="4094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x v="78"/>
    <b v="0"/>
    <x v="6"/>
    <x v="109"/>
    <n v="300"/>
    <x v="1"/>
    <x v="6"/>
  </r>
  <r>
    <x v="4102"/>
    <x v="4095"/>
    <s v="Local Community theater to get up and running in the Idaho Falls area. Something new, something different!"/>
    <n v="500"/>
    <n v="137"/>
    <x v="2"/>
    <x v="0"/>
    <x v="0"/>
    <n v="1463343673"/>
    <n v="1460751673"/>
    <b v="0"/>
    <x v="79"/>
    <b v="0"/>
    <x v="6"/>
    <x v="2872"/>
    <n v="318.5"/>
    <x v="1"/>
    <x v="6"/>
  </r>
  <r>
    <x v="4103"/>
    <x v="4096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x v="79"/>
    <b v="0"/>
    <x v="6"/>
    <x v="709"/>
    <n v="550"/>
    <x v="1"/>
    <x v="6"/>
  </r>
  <r>
    <x v="4104"/>
    <x v="4097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x v="25"/>
    <b v="0"/>
    <x v="6"/>
    <x v="2873"/>
    <n v="1820.5"/>
    <x v="1"/>
    <x v="6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x v="79"/>
    <b v="0"/>
    <x v="6"/>
    <x v="2874"/>
    <n v="17650"/>
    <x v="1"/>
    <x v="6"/>
  </r>
  <r>
    <x v="4106"/>
    <x v="4099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x v="51"/>
    <b v="0"/>
    <x v="6"/>
    <x v="2875"/>
    <n v="4265"/>
    <x v="1"/>
    <x v="6"/>
  </r>
  <r>
    <x v="4107"/>
    <x v="4100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x v="80"/>
    <b v="0"/>
    <x v="6"/>
    <x v="2876"/>
    <n v="1020.5"/>
    <x v="1"/>
    <x v="6"/>
  </r>
  <r>
    <x v="4108"/>
    <x v="4101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x v="29"/>
    <b v="0"/>
    <x v="6"/>
    <x v="2877"/>
    <n v="1529.5"/>
    <x v="1"/>
    <x v="6"/>
  </r>
  <r>
    <x v="4109"/>
    <x v="4102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x v="78"/>
    <b v="0"/>
    <x v="6"/>
    <x v="109"/>
    <n v="250"/>
    <x v="1"/>
    <x v="6"/>
  </r>
  <r>
    <x v="4110"/>
    <x v="4103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x v="79"/>
    <b v="0"/>
    <x v="6"/>
    <x v="2878"/>
    <n v="193"/>
    <x v="1"/>
    <x v="6"/>
  </r>
  <r>
    <x v="4111"/>
    <x v="4104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x v="79"/>
    <b v="0"/>
    <x v="6"/>
    <x v="2879"/>
    <n v="1547"/>
    <x v="1"/>
    <x v="6"/>
  </r>
  <r>
    <x v="4112"/>
    <x v="4105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x v="29"/>
    <b v="0"/>
    <x v="6"/>
    <x v="167"/>
    <n v="1250.5"/>
    <x v="1"/>
    <x v="6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x v="83"/>
    <b v="0"/>
    <x v="6"/>
    <x v="418"/>
    <n v="751.5"/>
    <x v="1"/>
    <x v="6"/>
  </r>
  <r>
    <x v="4114"/>
    <x v="4107"/>
    <m/>
    <m/>
    <m/>
    <x v="4"/>
    <x v="21"/>
    <x v="13"/>
    <m/>
    <m/>
    <m/>
    <x v="502"/>
    <m/>
    <x v="41"/>
    <x v="2880"/>
    <m/>
    <x v="10"/>
    <x v="4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10066.5"/>
    <x v="0"/>
    <x v="0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2464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512.5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10195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49058.14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4194.5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8259.5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9055"/>
    <x v="0"/>
    <x v="0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3500.76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564.995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3007.5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5512.5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39794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4549.5"/>
    <x v="0"/>
    <x v="0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6028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066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2014.5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1505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30948.165000000001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1042.5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2002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345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380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2185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36541.345000000001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700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595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21172.5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2021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350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4025.9949999999999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28485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5305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2996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1332.5"/>
    <x v="0"/>
    <x v="0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7264.5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31178.5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2625.5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28872.5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2013.5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2000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6930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20433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2000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5500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8575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5190.2749999999996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2079.5"/>
    <x v="0"/>
    <x v="0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2000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600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254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10810.5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3144.5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0050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9845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8290.5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15142.5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0145.5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20012.57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574.165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6207.5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3821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2135.1849999999999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1640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7263.5"/>
    <x v="0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2186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2162.5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681.5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10547.115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568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2015.5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2292.5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900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532.32999999999993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3770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80"/>
    <x v="0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985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700.5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1475.5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12435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1117.5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00.25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202.5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500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1353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6194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2557.5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3550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6452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501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3300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5130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1053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55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405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1610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412.5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3300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1545.145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5000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3500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6832.5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1333.5"/>
    <x v="0"/>
    <x v="1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550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2281.5"/>
    <x v="0"/>
    <x v="1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5012.5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7592.5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2600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1597.5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1500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4455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5100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6025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3050"/>
    <x v="0"/>
    <x v="1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541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3739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4511.1100000000006"/>
    <x v="0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5325.79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3324.05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35005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500.5"/>
    <x v="0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50000000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7575.5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2000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285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3193.5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095"/>
    <x v="0"/>
    <x v="2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50933.5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10000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300"/>
    <x v="0"/>
    <x v="2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600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43827.5"/>
    <x v="0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35882"/>
    <x v="0"/>
    <x v="2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2500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1701.5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1500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27500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77356"/>
    <x v="0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100000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6646.5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505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2750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4785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2419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10057.5"/>
    <x v="0"/>
    <x v="2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3500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5020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5046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80056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125070"/>
    <x v="0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90015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25179.5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770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675040.5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8392.5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1501.5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2500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250005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2500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25002.5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1617.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1000000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60320"/>
    <x v="0"/>
    <x v="3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8500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4000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5005.5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4162.5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1530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5162.5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25000.5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47500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555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3000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10648.5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750"/>
    <x v="0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315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250000"/>
    <x v="0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600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800.5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2072.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500"/>
    <x v="0"/>
    <x v="3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8491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775.5"/>
    <x v="0"/>
    <x v="3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1100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2500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2900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750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250172.5"/>
    <x v="0"/>
    <x v="3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6025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2625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00008.5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500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251.5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1000000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2482.5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1381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12639.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5000"/>
    <x v="0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3785.7750000000001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15"/>
    <x v="0"/>
    <x v="3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3000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1623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226082.5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4650"/>
    <x v="0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6350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8065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25000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12500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7515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3615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3150.5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5010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6250.5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2205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8924.61"/>
    <x v="0"/>
    <x v="3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55971.5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2550"/>
    <x v="0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29407.5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25180"/>
    <x v="0"/>
    <x v="3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25000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565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750000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3000000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100"/>
    <x v="0"/>
    <x v="3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4625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14000"/>
    <x v="0"/>
    <x v="3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4000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1500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753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750000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2055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175000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700.5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5000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75000"/>
    <x v="0"/>
    <x v="3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7525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13000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625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5572.560000000001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38700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13875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25324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3740.75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093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10136.5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5852.5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85566.5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10646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30837.5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3947.5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7114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1505.5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26033.67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8269.33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15541.5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36177.134999999995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43671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86976.709999999992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0320"/>
    <x v="0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20740"/>
    <x v="0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250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27260.135000000002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5455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5277.5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1227.5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11407.720000000001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285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123616.88499999999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2905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30702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4161.5050000000001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5194.3950000000004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120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20839.5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4952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68374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33797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21872.055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96054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6066.16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45267.5"/>
    <x v="0"/>
    <x v="4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9284.525000000001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40925.229999999996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23017.754999999997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5686.5"/>
    <x v="0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20722.5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50802.654999999999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15361.5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4650.3999999999996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5500.5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75565.100000000006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6180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5000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58277.279999999999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7340.775000000001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20064"/>
    <x v="0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131627.41999999998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13947.625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25215.33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14217.775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10023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3562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5638"/>
    <x v="0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8637.5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1964.5"/>
    <x v="0"/>
    <x v="4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23245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12334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19705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1020.645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20410.165000000001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8475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17402.5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2425.75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5156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6033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30120.5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9583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5317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20658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35466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25989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6023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8568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51099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59697.29999999999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4728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76355.399999999994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10275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35320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41321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106507.5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45045.5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0059.5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8617.5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27104.89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3017.5250000000001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15760.02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6242.5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39379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3617.5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55100.759999999995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30304.294999999998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33849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16187.5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13514.44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42318.1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10150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11633.59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26845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38648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10828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60942.59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3569"/>
    <x v="0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37845"/>
    <x v="0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600.9650000000001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20550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50772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24787.5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2082.5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36938.474999999999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0832.5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8984.5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7355.65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15298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38250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10167.505000000001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12757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6830.0599999999995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27752.5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0626.5"/>
    <x v="0"/>
    <x v="4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338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7750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6919.5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550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2523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2864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3176.5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6206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4830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25591.25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1067.5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1532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21210.5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25747.75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600.5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59658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5654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95722.06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1000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20061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18583.5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52611.5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4979.5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10402.225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15500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12686.674999999999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8443.5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0680.5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0615.125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50953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2416.5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5131.5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35541"/>
    <x v="0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2928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2907.8649999999998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2015.5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6043.13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592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141.5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30157.5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2835.5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13125.5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18764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1415.03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1101.085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10513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2471"/>
    <x v="0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8017.5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1657.25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7650.5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20215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0076.5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1601.95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25003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5066.5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3250"/>
    <x v="0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6338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2500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512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1707.5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3285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1500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1312.5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55001.5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500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3500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0938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225"/>
    <x v="0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2502.5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200"/>
    <x v="0"/>
    <x v="5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11845.5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005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25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30001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5633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15002.5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1291.0050000000001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1022.5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25198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10000"/>
    <x v="0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615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47450.5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5041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32522.5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4474.5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10000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5410.5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19512.5"/>
    <x v="0"/>
    <x v="5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4262.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275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50000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28125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505.5"/>
    <x v="0"/>
    <x v="5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325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5038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2157.5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3750"/>
    <x v="0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3000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25.5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0770.5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470.5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15430.5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650.5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1000"/>
    <x v="0"/>
    <x v="5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112453.295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750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5000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9942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23882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15915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5005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11265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40074.5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23135.505000000001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275025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25000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6000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37606"/>
    <x v="0"/>
    <x v="5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500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5000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5000000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15000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015.5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3500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30000.5"/>
    <x v="0"/>
    <x v="5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2255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34051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10955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3357.5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5000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1011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3307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12417.5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6026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100125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10320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25200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2505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7000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2575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4005.5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28481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775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60825.5"/>
    <x v="0"/>
    <x v="5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2500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7602.5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3587.5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7373.5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5052.5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5116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3220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5515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3651.7750000000001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2000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1605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10042.5"/>
    <x v="1"/>
    <x v="6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1240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1382.5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3537.5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4000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11162.5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2002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15350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2025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3601.25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2205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10060.5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501.61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7500.5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262.5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25000.5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11035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253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31846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30026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3750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5004.5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1284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2517.5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39390.5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22500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12561.5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2643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3750"/>
    <x v="2"/>
    <x v="7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4100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75683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375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120025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50006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7527.5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25000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7534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9000.5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12500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2500.5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5000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12372.5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1260"/>
    <x v="2"/>
    <x v="7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42571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12553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1250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44617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5630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30129.5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40000.5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2505"/>
    <x v="2"/>
    <x v="7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62507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6087.5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500.5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200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50000"/>
    <x v="2"/>
    <x v="7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4500.5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05"/>
    <x v="2"/>
    <x v="7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4500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5028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16362.5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4650.5"/>
    <x v="2"/>
    <x v="7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3750.5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611.5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50030.5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3875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307.5"/>
    <x v="2"/>
    <x v="7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2513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0213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10003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3760"/>
    <x v="2"/>
    <x v="7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675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25015.5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2550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5070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35000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7795.01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750"/>
    <x v="2"/>
    <x v="7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2565.5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2505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125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75730.5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392.5"/>
    <x v="2"/>
    <x v="7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6901.5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40000"/>
    <x v="2"/>
    <x v="7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5000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36409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5000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257.5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2500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1030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200"/>
    <x v="2"/>
    <x v="7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250000.5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15150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12630.5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170.5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37500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2500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12500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4672.5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225045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2500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00175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6004.5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25345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10000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5622.5"/>
    <x v="2"/>
    <x v="7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2500.5"/>
    <x v="2"/>
    <x v="7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12501"/>
    <x v="2"/>
    <x v="7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1002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50000"/>
    <x v="2"/>
    <x v="7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100009"/>
    <x v="2"/>
    <x v="7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500000.5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85.5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43832.5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56048.5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25726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50014.74"/>
    <x v="2"/>
    <x v="8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3787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927.505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2070.5"/>
    <x v="2"/>
    <x v="8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3969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2999.5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1593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5066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3007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0542.25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22037.5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9875.5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7839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6927.5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29532.5"/>
    <x v="2"/>
    <x v="8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3008.5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25764.5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5047.5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19578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350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6452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5932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100004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27505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7842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21507.5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58174.5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20914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30407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50102.5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25007.5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45.5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50735.5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31396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15054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32913.5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47217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250.5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25026.5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17649"/>
    <x v="2"/>
    <x v="8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1974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1276.5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250000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1775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17299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157648.75"/>
    <x v="2"/>
    <x v="8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11234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5130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10653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67669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75295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30318"/>
    <x v="2"/>
    <x v="8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87500.5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3659.5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7695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18574.37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7701.5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14559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9811.005000000001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7918.5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27740.5"/>
    <x v="2"/>
    <x v="8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50488.5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50000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60835.3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4418.5"/>
    <x v="2"/>
    <x v="8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7530.5"/>
    <x v="2"/>
    <x v="8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600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66895.5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4302.5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2599.5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624.5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4444.5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3857.5"/>
    <x v="2"/>
    <x v="8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50152.5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6045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7597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2317.5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9106.5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9003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234.5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7191.5050000000001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20035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2517.5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4471.5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7708.7250000000004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613"/>
    <x v="3"/>
    <x v="9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23219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5650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52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2756"/>
    <x v="3"/>
    <x v="9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9585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50385.5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7472.5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560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1550.5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7750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3111"/>
    <x v="3"/>
    <x v="9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3146.9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1475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682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5058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3098"/>
    <x v="3"/>
    <x v="9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152.5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7001.5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2002.5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10278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4501.5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3277.5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292.5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11400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2037.5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2523.8450000000003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762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422.5"/>
    <x v="3"/>
    <x v="9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2525"/>
    <x v="3"/>
    <x v="9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048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1100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2617.5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1750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2147.5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2500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4760.5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2000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2588.5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1250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2828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8750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9005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775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895.5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425.5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5085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5299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1510.5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51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7700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1020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932.61500000000001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700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1861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12.5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701.56999999999994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6070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1285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1517.5250000000001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780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12218.73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7645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2505.5550000000003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2788.2150000000001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8212.5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14825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0067.5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3113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3760.5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5000.5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1891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2115.2150000000001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6040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2567.5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5500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3075"/>
    <x v="4"/>
    <x v="11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8177.5"/>
    <x v="4"/>
    <x v="11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4102.5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4500"/>
    <x v="4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4075.5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1537.5"/>
    <x v="4"/>
    <x v="11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1020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755.5"/>
    <x v="4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1949.97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1136.5"/>
    <x v="4"/>
    <x v="11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4140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7529.2749999999996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1778.33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447.5"/>
    <x v="4"/>
    <x v="11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417.5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2340.5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17482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3287.5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1118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1875.05"/>
    <x v="4"/>
    <x v="11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527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5540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305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1345.5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510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1870.5"/>
    <x v="4"/>
    <x v="11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2500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15045.529999999999"/>
    <x v="4"/>
    <x v="11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6050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6353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2172.5"/>
    <x v="4"/>
    <x v="11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5023.26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2772.5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2454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5415.415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11020.83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033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2554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5507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4412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5509.5050000000001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1221.0050000000001"/>
    <x v="4"/>
    <x v="12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300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398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5103.5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2304.5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3587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30332.65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1475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397.5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1200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1464.0349999999999"/>
    <x v="4"/>
    <x v="12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093.5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8270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2300.5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25085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045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4600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1122.5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2070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3100.5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22525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4920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0031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3162.5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4032.5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1772.5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1865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2500"/>
    <x v="4"/>
    <x v="13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219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1675.5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2532.5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1372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946.5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189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901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3500.5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10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875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352.5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500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536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13680.16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1562.5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4130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4222.5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1100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3917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4097.5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5600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1500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1285"/>
    <x v="4"/>
    <x v="14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515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2510.5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3250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15045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2580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25075.5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348"/>
    <x v="4"/>
    <x v="13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7500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1450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1250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8260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336.5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50000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765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15991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750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3437.5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1650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2515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2048"/>
    <x v="4"/>
    <x v="13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50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2750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9817.5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6340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7665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1663.5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080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3500"/>
    <x v="4"/>
    <x v="13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10000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8037.5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250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22.5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065.5"/>
    <x v="4"/>
    <x v="13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5440.5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1060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3260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1775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700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1770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3512.5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1395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5272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25580.5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084"/>
    <x v="2"/>
    <x v="8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1644.5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28331.5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51242"/>
    <x v="2"/>
    <x v="8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7643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425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2240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10136.5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3201"/>
    <x v="2"/>
    <x v="8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34597.5"/>
    <x v="2"/>
    <x v="8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34286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7563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10755.5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58492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25430.5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6116.5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4329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34715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40652.5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67539.5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606"/>
    <x v="2"/>
    <x v="8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17688.5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55439.5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12649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6888"/>
    <x v="2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11781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4053"/>
    <x v="2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22000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3648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50113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3462.5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10205.5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25140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51303.5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76444.5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1804.5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135081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1993.08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5743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44449.5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8751.5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67485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5053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15944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275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28305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2500"/>
    <x v="2"/>
    <x v="8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838.5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2513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2606"/>
    <x v="2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50233.5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43780.5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102334.5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5363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2032.5"/>
    <x v="2"/>
    <x v="8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2532.5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47567.5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80841.5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457262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5100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6479.5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11605.5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2776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175051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117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21648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46875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28282.5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7735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10037.5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540875.52500000002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16816"/>
    <x v="2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6530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620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51421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53598.5"/>
    <x v="2"/>
    <x v="8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10310.5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33150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2368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6777.0550000000003"/>
    <x v="4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2149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371.5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21863.775000000001"/>
    <x v="4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3474.91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7000.29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7617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10863.5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10588"/>
    <x v="4"/>
    <x v="15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421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370"/>
    <x v="4"/>
    <x v="15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5629.42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1347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5750.0450000000001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4776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4778.1100000000006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1010.5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1840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570.5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42625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25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330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54268.5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503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5133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1500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000.5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7606"/>
    <x v="5"/>
    <x v="16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6000"/>
    <x v="5"/>
    <x v="16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1250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250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2168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757.5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1250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1750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5000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5000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20000"/>
    <x v="5"/>
    <x v="16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550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2525"/>
    <x v="5"/>
    <x v="1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2000"/>
    <x v="5"/>
    <x v="16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194.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500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49038.5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540.5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77525.5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315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5022.5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1525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5035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50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37525.5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380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28703.5"/>
    <x v="6"/>
    <x v="17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522.5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61037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16172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322.5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13339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0910.5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4006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5028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25205"/>
    <x v="6"/>
    <x v="17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275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5513"/>
    <x v="6"/>
    <x v="17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9007.5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550"/>
    <x v="6"/>
    <x v="17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25691.17"/>
    <x v="6"/>
    <x v="17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8087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6502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12.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1010.5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71.125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0647.005000000001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2587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076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50023.5"/>
    <x v="6"/>
    <x v="17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13401.5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12.5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2050"/>
    <x v="6"/>
    <x v="17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50020.5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4212.5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7621.5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31485.5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450715.5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82.5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5000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12866.25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5022.5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5127.5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250.5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59636.46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02.5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005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20026.5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250089.26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541.5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2304.5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1052.5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12500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125014.5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1600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2505.5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45212.5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1500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1005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17792.5"/>
    <x v="6"/>
    <x v="18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500.5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010.5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2505.5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20000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5719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1510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2500.5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25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2230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17437.5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17562.5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4002.5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2500"/>
    <x v="6"/>
    <x v="18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250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2000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2593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4650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40050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3265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12500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7536.5"/>
    <x v="7"/>
    <x v="19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25037.5"/>
    <x v="7"/>
    <x v="19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1376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12500"/>
    <x v="7"/>
    <x v="19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8455.5"/>
    <x v="7"/>
    <x v="19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4025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2662.5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12594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3250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75.5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3767.5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3375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15577.5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9000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30017.5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2600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5000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6035.25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8935.5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30489.5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9510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008.5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12550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12512.5"/>
    <x v="7"/>
    <x v="19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4500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62515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7943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10292.5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87505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3000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37502.5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3160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27937.5"/>
    <x v="7"/>
    <x v="19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25002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521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1300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22543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2840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7752.5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8930.5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2605.5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9350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87.5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2822.5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5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21415.5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26390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11750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26818.5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26497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6310.5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675.5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414.5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6073.1350000000002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37405.5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00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13191.5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13056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967.5"/>
    <x v="8"/>
    <x v="20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7048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12765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6180"/>
    <x v="8"/>
    <x v="20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35431.5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005.5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2863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572.5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2318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22152.005000000001"/>
    <x v="8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17199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26844.5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2252.5"/>
    <x v="8"/>
    <x v="20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21187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5282.5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25.5050000000001"/>
    <x v="8"/>
    <x v="20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7607.5"/>
    <x v="8"/>
    <x v="20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20998.5"/>
    <x v="8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8030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1566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25968.5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1000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3232.5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1387.5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250000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2500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2520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558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25000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872"/>
    <x v="4"/>
    <x v="21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1250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12500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89"/>
    <x v="4"/>
    <x v="21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1250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4120.5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3768.5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458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6845.5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2038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2202.5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2170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3887.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3145.5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5111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45023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6054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4159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15196.66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10011.5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4535.5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32694.564999999999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10855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18788.78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553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3525.5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2012.5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326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1642.5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866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3835.085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9522.5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22198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13000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19613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10736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7567.5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5150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4070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31871.919999999998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19660.55"/>
    <x v="4"/>
    <x v="11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3066.3150000000001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15459.325000000001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8285.5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13190.084999999999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5818.39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7375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16771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1555.25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2010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2016.5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1562.5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427.5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4009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1688"/>
    <x v="1"/>
    <x v="6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3650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3685.5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1785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5167.5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555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2524.5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1025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20952.5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2046.5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3920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3525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2027.5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2500"/>
    <x v="1"/>
    <x v="6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029.5650000000001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27925.5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18896.5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90885.5"/>
    <x v="2"/>
    <x v="8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27878.5"/>
    <x v="2"/>
    <x v="8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5568"/>
    <x v="2"/>
    <x v="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12189.5"/>
    <x v="2"/>
    <x v="8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1550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165035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314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26223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91014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70202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37500.5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105733.5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23065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3338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50251.5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234009.5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17553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8166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27460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10243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50565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24852.5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38374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25204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21436.5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26708.5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5057.5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1250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73651.5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14970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92473.5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37345.5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15495.5"/>
    <x v="2"/>
    <x v="8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26658.5"/>
    <x v="2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840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21295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25050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50574.5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3583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337.5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6059.5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2527.5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5930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7605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5101.25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20126.5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11807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1168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1381.5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783.5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4807.7800000000007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2253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3175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712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2049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6779.5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1045.5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200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45915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7510"/>
    <x v="4"/>
    <x v="11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8493.3450000000012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5356.5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5267.5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33225.315000000002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1527.5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7247"/>
    <x v="4"/>
    <x v="11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560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10250.5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2171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5426.5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6521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1405"/>
    <x v="4"/>
    <x v="11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33.5"/>
    <x v="4"/>
    <x v="11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10580"/>
    <x v="4"/>
    <x v="11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65.5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5177.5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8174.5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3436.5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3921.5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8416.244999999999"/>
    <x v="4"/>
    <x v="11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37.5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4732.5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5870.1849999999995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613.5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2927.5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525.5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670.5"/>
    <x v="4"/>
    <x v="11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0117.5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833"/>
    <x v="4"/>
    <x v="11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3708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6219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10692.5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4613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10176.5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468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7456.5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614.5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4051.5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7370.5"/>
    <x v="3"/>
    <x v="22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12552.5"/>
    <x v="3"/>
    <x v="22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6007.5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1507.5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536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2000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3000.5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1503.5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3660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50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250.5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2600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25000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277.5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1503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3372.5"/>
    <x v="3"/>
    <x v="22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56.5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100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2513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5050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4513.5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6500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500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2709.5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522.5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5000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2701.5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215.5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20000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6402.5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45095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507.5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5038.5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1903.5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10300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1452.5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6500.5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91010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750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6500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2475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65000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450"/>
    <x v="3"/>
    <x v="22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0037.5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100000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4444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50000.5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9476"/>
    <x v="3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7000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12500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882.5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8287.5"/>
    <x v="3"/>
    <x v="22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2572.5"/>
    <x v="3"/>
    <x v="22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3000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2500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18500"/>
    <x v="3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12500000"/>
    <x v="3"/>
    <x v="22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15093.345000000001"/>
    <x v="3"/>
    <x v="23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4170.3500000000004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743"/>
    <x v="3"/>
    <x v="23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6580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83462.175000000003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16630.184999999998"/>
    <x v="3"/>
    <x v="23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43016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9612.5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46114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1688.5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32614.5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29838"/>
    <x v="3"/>
    <x v="23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1653.87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3184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21650.224999999999"/>
    <x v="3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22846.639999999999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31696.5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320403.55499999999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1899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54260.1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2552.5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2502.5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3525"/>
    <x v="3"/>
    <x v="10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1000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3425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0024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5000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7680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2500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1897.5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650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2015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1200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2722.5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1000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750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7500.5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528.5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1002.5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1750.5"/>
    <x v="3"/>
    <x v="10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69246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22159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3897.9650000000001"/>
    <x v="8"/>
    <x v="20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12283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16286.5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1585.5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1890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19495.5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9568.61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16082.8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14825.5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11528.5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10000.75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25809.5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385783.5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7736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19648.5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22902.5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9151.375"/>
    <x v="8"/>
    <x v="20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8312.5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38777.5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51975.05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20798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4605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562.0749999999998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25337.5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3682.7750000000001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723.5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9064.5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41094.5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3242.5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14600.5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55156.5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19415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648.5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21018.504999999997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16794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7092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23598.61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6340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9003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60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130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500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500.5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644.5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10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380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335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425.5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1750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3207.5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3000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10000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375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1088.5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300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392.5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7525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1297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5033.5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2000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3042.5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5005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2050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8187.5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4425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4205"/>
    <x v="3"/>
    <x v="25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15000"/>
    <x v="3"/>
    <x v="25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242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6090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1312.5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4611.5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5253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145.5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2825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5027.5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1051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680.5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875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02.5"/>
    <x v="8"/>
    <x v="26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546.5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0007.5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600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790"/>
    <x v="8"/>
    <x v="26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750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3750.5"/>
    <x v="8"/>
    <x v="26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258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600"/>
    <x v="8"/>
    <x v="26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30510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9046"/>
    <x v="8"/>
    <x v="26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12.5"/>
    <x v="8"/>
    <x v="26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1001.5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602.5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50140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1662.5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7500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400.5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250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2683.5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2603.1149999999998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1501.25"/>
    <x v="4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2000.33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3109.5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6020.8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040.165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12255.5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1207.5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1637.5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3718.5"/>
    <x v="4"/>
    <x v="11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900.5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25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1007.5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5067.5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8565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10210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8605"/>
    <x v="4"/>
    <x v="11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1538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1750"/>
    <x v="4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1065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5530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6959.5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754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1090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9575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8047.5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2170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018.5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6110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7305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2795.5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4032.5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0000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2005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2253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4580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509.5"/>
    <x v="4"/>
    <x v="11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1025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1800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539.72"/>
    <x v="4"/>
    <x v="11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2517.5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1200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5617.5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10475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270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102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5118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2590.5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3811.165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2415.5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2007.5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4515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6855.76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1209.5"/>
    <x v="4"/>
    <x v="27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1821.5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7512.5599999999995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25616.724999999999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6967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532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541.5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7999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8105.5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1040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2780.1099999999997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3840.5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3261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3856.5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8105.5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2397.5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1013"/>
    <x v="4"/>
    <x v="27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006.7350000000001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1810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2395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7542.5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1187.08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3230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6350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1638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2750"/>
    <x v="4"/>
    <x v="27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1087.5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65462.19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3000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2130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365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355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2509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6562.5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886"/>
    <x v="4"/>
    <x v="28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2400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1567.5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0021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3695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1640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002.5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702.5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150000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7513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62500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2660.5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12606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2530"/>
    <x v="4"/>
    <x v="28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8250.5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25.5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651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1000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2750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2743.5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3500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917.5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2517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525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2500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1525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3483.5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2505.5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1075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2330"/>
    <x v="4"/>
    <x v="28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17537.5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2017.5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112.5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2500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440.5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5325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3017.5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3030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4348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500.5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052.5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5000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1500"/>
    <x v="4"/>
    <x v="28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500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2000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5000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2250.5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5"/>
    <x v="4"/>
    <x v="28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1511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2425"/>
    <x v="4"/>
    <x v="28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510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500.5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1500"/>
    <x v="4"/>
    <x v="28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1265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2087.5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6012.5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6007.5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7490.5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18607.5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9223"/>
    <x v="8"/>
    <x v="20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57487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11230.25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7540.5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0145"/>
    <x v="8"/>
    <x v="20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2161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15600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8947.5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27.5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5577.8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5400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1073.5"/>
    <x v="8"/>
    <x v="20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5165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6636"/>
    <x v="8"/>
    <x v="20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127.5"/>
    <x v="8"/>
    <x v="20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492.5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2114.5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6578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9966.74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750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3643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2593.5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20540.5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9173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2547.5"/>
    <x v="8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3179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15938.5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1824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26829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2667.5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2725.5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25497.5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7493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20961.5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3458.5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20211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24738.5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3494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14426.5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1402.5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5766.5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2788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4020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7318"/>
    <x v="8"/>
    <x v="20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1553.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20140.5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1520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4998.5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9423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11595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8377.5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9091"/>
    <x v="8"/>
    <x v="20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2034.915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27860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9677.5"/>
    <x v="8"/>
    <x v="20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2598.5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11445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76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15345.5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10295.5"/>
    <x v="8"/>
    <x v="20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2776.5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9797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1940"/>
    <x v="8"/>
    <x v="20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232.5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27020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682.5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4375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8951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1500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12754.5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13709.5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7500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12.5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13853.5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2936.125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300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755.5"/>
    <x v="4"/>
    <x v="11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3001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2050.5"/>
    <x v="4"/>
    <x v="11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2010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026.5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20016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2000.125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15115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1015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425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725"/>
    <x v="4"/>
    <x v="11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0902.5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510"/>
    <x v="4"/>
    <x v="11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7508.5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1220.5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1000.745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1526.5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940"/>
    <x v="4"/>
    <x v="11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2017.5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2252.5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11200.305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1510.5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1000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17844.5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2761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3110.5"/>
    <x v="4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00.5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9068.5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1300.5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6272.5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807.5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15159.275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11115.08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2012.5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3000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5798.55"/>
    <x v="4"/>
    <x v="11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3477.5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875.5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125000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727.5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1255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4644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55002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12562.5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005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13108.5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5000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1930.5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5583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0106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4018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80013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5025.5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140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30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4000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2503"/>
    <x v="6"/>
    <x v="18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3002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2726.8450000000003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3365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1023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1175.5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4948.5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1212.5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3167.5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3326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2066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14675.065000000001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10277.5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591.5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2550"/>
    <x v="4"/>
    <x v="14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1072.5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9150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505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6428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1222.5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1050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2617.0550000000003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50835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506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2199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025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2521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35690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15042.5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2716.5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9969.5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59243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21255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3982.5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318.5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63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54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0051"/>
    <x v="2"/>
    <x v="29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7512.5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12630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368.5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7151.5"/>
    <x v="2"/>
    <x v="29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1776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2155.5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13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3216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1577.5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215.3450000000003"/>
    <x v="4"/>
    <x v="14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610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2590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3205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1135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2206.0100000000002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5433.5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8173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5590.5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2605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8119.5050000000001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861.73500000000001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6195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0535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880.5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282647.94500000001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7153.21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90262.5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7611.1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224009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9365.5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802.53500000000008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450105.5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1500.65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72124.48000000001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78111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52232.665000000001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4446"/>
    <x v="2"/>
    <x v="30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199737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104705.01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118210"/>
    <x v="2"/>
    <x v="30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40125.705000000002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53745.01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12836.720000000001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76266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0269.06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14646.25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21554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60371.56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9057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53371.54499999998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47013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96241.5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7908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30795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726055.43500000006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9681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353262.505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47549.599999999999"/>
    <x v="2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24696.67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8932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125582.5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281711.28500000003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14901.155"/>
    <x v="2"/>
    <x v="3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113706.005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940.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90000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17209.5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9086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825.5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000.5"/>
    <x v="8"/>
    <x v="31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3918"/>
    <x v="8"/>
    <x v="31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3012.5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2525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754.5"/>
    <x v="8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1070"/>
    <x v="8"/>
    <x v="31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751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1000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1600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539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66900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3250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1577.5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15618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812.5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32585.5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9198.554999999993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1030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83605.119999999995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33552.014999999999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86960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10785.46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1704.895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101289.5"/>
    <x v="2"/>
    <x v="30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63007.95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229891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8372.5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475931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1187067.335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7668.0050000000001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51077.11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28137.8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65729.114999999991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16981.95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192.5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9527.5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112568.5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130729.5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13707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120460"/>
    <x v="2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29185.384999999998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110124.5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3392.5"/>
    <x v="2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5765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53451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55087.5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50523.5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34834.5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189859.79500000001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124414.57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34750.25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20023.82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20820.5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147635.5"/>
    <x v="2"/>
    <x v="30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5222.57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3388.5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11176.5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4198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15616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22520.005000000001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11055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99469.5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105541.22500000001"/>
    <x v="2"/>
    <x v="30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55047.675000000003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8663.5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9214.5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113262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5025.5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37378.5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8022.5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63363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22667.415000000001"/>
    <x v="2"/>
    <x v="30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3434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36518.5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7050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5198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107488.5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4961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381373.13500000001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9843.025000000001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3186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561.5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25652.985000000001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57101.665000000001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60829.5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38073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75336.5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126302.15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607.5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88909.8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575797.495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53877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23120.5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19408.5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3039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3755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1580.5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800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3125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6706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4014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1526.5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3232.66"/>
    <x v="4"/>
    <x v="14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2755.0050000000001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8601.6149999999998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19842.099999999999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6038.5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1518.5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3859.5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2500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605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3000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6010"/>
    <x v="4"/>
    <x v="14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3485.5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710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2132.5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1180"/>
    <x v="4"/>
    <x v="14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570.5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91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3540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2277.5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2077.33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16585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4130.5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2003.5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2065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300"/>
    <x v="4"/>
    <x v="14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7170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5117.5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2442.5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48217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1486.5"/>
    <x v="4"/>
    <x v="14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1173.0549999999998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2007.5"/>
    <x v="4"/>
    <x v="14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8035.2150000000001"/>
    <x v="4"/>
    <x v="14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5142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40155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275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607.5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0426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10005"/>
    <x v="6"/>
    <x v="17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18038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7512.5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118"/>
    <x v="6"/>
    <x v="17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042.5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262.5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51056.495000000003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08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052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739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40023.845000000001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32101.5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564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15813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250280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7500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550.5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1112.5"/>
    <x v="6"/>
    <x v="17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18053.5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9782.5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2500.5"/>
    <x v="6"/>
    <x v="17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196358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51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1000"/>
    <x v="6"/>
    <x v="17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25202.5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22559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5025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186329.5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26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557.5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28746.5"/>
    <x v="6"/>
    <x v="17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48072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159885.05499999999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813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042.5"/>
    <x v="6"/>
    <x v="17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431.5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4776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2902.5"/>
    <x v="4"/>
    <x v="11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5572.5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83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2466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165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19942.345000000001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153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491.5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4121.5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1000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4765.5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4059.5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1225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5650.5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2501.5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29830"/>
    <x v="4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1307"/>
    <x v="4"/>
    <x v="1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5179.6049999999996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2531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9362.5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5303.5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9237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48924.25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20967.5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111464.25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14069.5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3619.5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27038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824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70874.41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41428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31868.5"/>
    <x v="6"/>
    <x v="32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5067.5"/>
    <x v="6"/>
    <x v="32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14968.5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157654.66500000001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46578.5"/>
    <x v="6"/>
    <x v="32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11114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6421.5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265.495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16083.625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2095.5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1746.5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945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1115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000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1008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627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4228.5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3695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6431.5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7.5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1177.5050000000001"/>
    <x v="4"/>
    <x v="15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705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308.5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22.5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2228.33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1007.5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3520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7804.5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656.5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065.5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17157.5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09707.505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18761.654999999999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16729.5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6372.45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10858.165000000001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9603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16401.620000000003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14895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5400.5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632.5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6465.5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8919.5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40763.5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4748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28503.334999999999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9267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532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73004.88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651.75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11925.5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4940.5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2501.5"/>
    <x v="6"/>
    <x v="32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18912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7252.5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4703.5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134389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9964.0950000000012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16752.5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8507.5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399.5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7636.5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774.5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201.75"/>
    <x v="6"/>
    <x v="32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2711.5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835.5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5336.5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4397.5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4193.5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8083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8401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98.5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3152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48052.5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28364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23770.5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2531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38309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7283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4004.5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2745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1650.25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4722.5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10246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3707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1269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24675.25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427.5"/>
    <x v="4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070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3012.83"/>
    <x v="4"/>
    <x v="11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6186.635000000000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3320.5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500.5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4949.4949999999999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1000.5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1555.5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1530.5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3410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2072.5050000000001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885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152.02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1351.5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8717.5"/>
    <x v="4"/>
    <x v="11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1003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30761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675.25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805"/>
    <x v="4"/>
    <x v="11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5840.1100000000006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3112.5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751.8050000000003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6021.01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8110.5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3618.2750000000001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029.8650000000002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50326.555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6200.2350000000006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48917.68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185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3118"/>
    <x v="4"/>
    <x v="14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6896.01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1541.8200000000002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2532.5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15303.2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408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5526.5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3115.5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5216.5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7343.5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1392.5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185"/>
    <x v="7"/>
    <x v="33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4527.5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540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7554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109566.505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17722.5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5740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35424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9772.5499999999993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25788.5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936.5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4039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25284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62073.254999999997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12639.5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5085.75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49276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41155.5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2500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2750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5150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500.5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1500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30019.5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507.5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35135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237450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25000"/>
    <x v="2"/>
    <x v="7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9504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1000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500"/>
    <x v="2"/>
    <x v="7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17512.5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4027.5"/>
    <x v="2"/>
    <x v="7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5000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13500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750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4300.5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501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100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270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87500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64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500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13815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25335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20050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12500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12541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1000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2840"/>
    <x v="2"/>
    <x v="7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425025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1005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5000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1663.165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1250"/>
    <x v="2"/>
    <x v="7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55000"/>
    <x v="2"/>
    <x v="7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15000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7527.5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43960.5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1537.5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5217.5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504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32894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15000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75513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18731.5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8015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255000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10012.5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2100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025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2501.5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16500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2505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62000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2000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6500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25000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14100.5"/>
    <x v="7"/>
    <x v="19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6026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701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7500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3063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2297.5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3778.5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7515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12730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7500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12575.5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4000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1512.5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7730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30167.5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10002.5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500"/>
    <x v="7"/>
    <x v="19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2502.5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1500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9685.5"/>
    <x v="7"/>
    <x v="19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3000.5"/>
    <x v="7"/>
    <x v="19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250.5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30004"/>
    <x v="7"/>
    <x v="19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12655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750.5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10000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25000.5"/>
    <x v="7"/>
    <x v="19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7500.5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71002.5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510.5"/>
    <x v="7"/>
    <x v="19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50001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7001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5000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0013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125612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58522.5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4000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7525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5000"/>
    <x v="7"/>
    <x v="1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2505"/>
    <x v="7"/>
    <x v="19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795.5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27113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30251.494999999999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3129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6820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6699.5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6590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15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10400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5115.014999999999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10772.5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700.5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3820.5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35148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423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2106.5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23265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5254.5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30337.5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8533.5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7642.5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3160.625"/>
    <x v="4"/>
    <x v="14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2162.5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2111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980.5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2500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1092.5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2072.17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1282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1015.82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570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8841.01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2000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5000.09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2559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3280.3599999999997"/>
    <x v="4"/>
    <x v="14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1017.5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9100"/>
    <x v="4"/>
    <x v="14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350.16499999999996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000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258.2199999999993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1000.5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1175.5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3838.0549999999998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2032.5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548.5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1500.38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3100.5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4089.25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553.5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08"/>
    <x v="4"/>
    <x v="14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675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22870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1507.54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1706.5250000000001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0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4255.43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1028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6052.5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640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5640.5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55043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5000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17500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3500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2515"/>
    <x v="7"/>
    <x v="34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21425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10000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48000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25037.5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50000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575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90000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6105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2965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11000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9883.5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2500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75032.5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50000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3092.994999999999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5000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1154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7560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8013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4259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4042.5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4144.9949999999999"/>
    <x v="4"/>
    <x v="35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6128.5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6500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4509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4522.5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7900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2050"/>
    <x v="4"/>
    <x v="35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0377.5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27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50"/>
    <x v="4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9171.584999999999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0012.5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2542.5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3623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712.5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20.5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5020.5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2953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3705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6046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6055.5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1592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6527.5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3725.25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3097.5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1916.5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3342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2073.5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765.5"/>
    <x v="4"/>
    <x v="35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983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1305.5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845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3001.5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50000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5037.5"/>
    <x v="7"/>
    <x v="19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10000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20000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5050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17500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22560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25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3322.5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3529.5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50125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15000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4000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5000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42500"/>
    <x v="7"/>
    <x v="19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5000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7500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3000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100138.5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4275.5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2765"/>
    <x v="7"/>
    <x v="19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45000.5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502.5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5000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15025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1502.5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5608.5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3116.5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25002.5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1500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763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15025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5000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40000.5"/>
    <x v="7"/>
    <x v="19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8412.5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21628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792.5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2085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4565.5"/>
    <x v="7"/>
    <x v="1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26733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1903.5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25565.5"/>
    <x v="2"/>
    <x v="36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1763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20421.8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103710.785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11553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20308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12957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70665.195000000007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27468.83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158985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13588.065000000001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7538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605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2699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26816.75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444"/>
    <x v="2"/>
    <x v="36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15404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1442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9187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18441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1733.88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2140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59176.824999999997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792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2650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560"/>
    <x v="2"/>
    <x v="36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882.5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5693.5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2579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21466.525000000001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1268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11365.5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958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1500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1436.5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665.5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350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396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3085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757.5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250000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667798.65500000003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51026.5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11050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271043.21000000002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68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6053"/>
    <x v="2"/>
    <x v="36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62562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30179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142616.5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50442.5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28438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50025.5"/>
    <x v="2"/>
    <x v="36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9077.5"/>
    <x v="2"/>
    <x v="3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83577.5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17810.689999999999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49045.5"/>
    <x v="2"/>
    <x v="36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25166.5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10009.5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5072.5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0680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20459.625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800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3905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12964.755000000001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1580"/>
    <x v="2"/>
    <x v="37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1353.5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00.5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20691.5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13918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6659.5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25516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28497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13448.5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579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1457.5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4000550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20066"/>
    <x v="2"/>
    <x v="37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16138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4027.5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3849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7518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35400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25005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15000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7500"/>
    <x v="7"/>
    <x v="19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25037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7500.5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44293"/>
    <x v="7"/>
    <x v="19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32517.5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1762.5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2520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5000.5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7535.5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31695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4530.5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4013.0050000000001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1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5034.5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2485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6720.5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40750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0072.5"/>
    <x v="1"/>
    <x v="38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9119.5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37152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18033.785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33321.535000000003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50401.5"/>
    <x v="1"/>
    <x v="38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76170.10500000001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3924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6363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51681"/>
    <x v="1"/>
    <x v="38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27044.5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21877.345000000001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10999.005000000001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27513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8322.5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6265"/>
    <x v="1"/>
    <x v="38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27265.5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5857.5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8813.5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14403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4897.4400000000005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48908.5"/>
    <x v="2"/>
    <x v="30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102872.5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29660.5"/>
    <x v="2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22637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7666.5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36489.505000000005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30645.5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13095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51884.5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1302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4043.0050000000001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8916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51909.120000000003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6198.5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662.5"/>
    <x v="2"/>
    <x v="3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305"/>
    <x v="2"/>
    <x v="30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4017.5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1615.5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2999.5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8417.5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4875.5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1900.5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20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2526.5"/>
    <x v="3"/>
    <x v="39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055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999.5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1637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2675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1190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5000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380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5524"/>
    <x v="3"/>
    <x v="39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755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1117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52.5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2500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2518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1637.5"/>
    <x v="3"/>
    <x v="39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19745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2022.5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2000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50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2017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4001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401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11041.125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9990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4000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265.5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2285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2575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11327.5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505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3452.5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1276.5"/>
    <x v="3"/>
    <x v="39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50000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1283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1100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072.5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570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5117"/>
    <x v="1"/>
    <x v="6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2723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1098.5"/>
    <x v="1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2025"/>
    <x v="1"/>
    <x v="6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3017.5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3080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2025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2076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0528.375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62.5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715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862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105.8050000000003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5035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5415.87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1165"/>
    <x v="1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83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027.5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11397.5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1075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420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3181.5"/>
    <x v="1"/>
    <x v="6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5650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4505.5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2530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2602.5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10013.5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5332.5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186.06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1558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27.5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3623.5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690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01.5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120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236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1000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000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112"/>
    <x v="1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705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3050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2077.5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2202.5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518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2581.5"/>
    <x v="1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3000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3160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2683.9949999999999"/>
    <x v="1"/>
    <x v="6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2811.5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1080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1435.4949999999999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67.5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850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2202.5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3700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2550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505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750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600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29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4933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4000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1000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17535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252.5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4155.5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2250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2547.5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4750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708.5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450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1573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2275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500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1017.5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133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165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6377.5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5010"/>
    <x v="1"/>
    <x v="6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270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1444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522.5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1502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650.880000000001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10088.5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2875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5233.5"/>
    <x v="1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1500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726.5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2635.5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10003.5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75000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3325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31.5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5614.5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7400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2750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501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5954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22592.5"/>
    <x v="1"/>
    <x v="6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5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5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1502.5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15000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2071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1010.5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5136.5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3000"/>
    <x v="1"/>
    <x v="6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2512.5"/>
    <x v="1"/>
    <x v="6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25000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261.5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1812.5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6275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3908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5000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452.5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78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75012.5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2519.5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787.5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2061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3282.5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251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4932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90010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5000.5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1228.5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8235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5001"/>
    <x v="1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2500.5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805.5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997.5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1218.5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3181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325.5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1585.5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114.5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500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25400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45550.345000000001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3375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2077.5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1000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8082.7749999999996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0046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772.5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3179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2534.5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2600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3515.5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1140"/>
    <x v="1"/>
    <x v="40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1750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4027.5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8115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2590.5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2500.5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120425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1500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5050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25000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001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13036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50012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512.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2500000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25548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10802.5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0302.5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7500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957.5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4611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7640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40000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5000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15000000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240.5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1109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342.5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5017.8449999999993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1567.5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10681.5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5348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3605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1312.5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180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3202.5"/>
    <x v="1"/>
    <x v="6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2053.5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6870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050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8005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95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3203.5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860.5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5035"/>
    <x v="1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3137.5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4578.5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5051.5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42992.95500000002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25044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1082.5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2466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26300.1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1000"/>
    <x v="1"/>
    <x v="38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27653.5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10000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8640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3067.5"/>
    <x v="1"/>
    <x v="38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1001.5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836.62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15372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47590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10186.5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50757.25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1477.5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500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5102.504999999999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297.7150000000001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3017.5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42563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1686.3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310"/>
    <x v="1"/>
    <x v="38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840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3017.5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7469.5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935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335.5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4342.5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2848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26638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3454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8611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22642.5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4215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16592.5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7020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4860.5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0044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710.5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8660.5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027.5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1095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46288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6700.5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31451.5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1808.5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1500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1136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3698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106268"/>
    <x v="1"/>
    <x v="38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26098.355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28341.5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783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1002.5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20871.39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3112.5"/>
    <x v="1"/>
    <x v="38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8735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1710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5750.5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12560.5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4654.13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11488.5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622.5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6660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3875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618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163.5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25037.5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5020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150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0000.5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12500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25000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9001.5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7725.5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110167.5"/>
    <x v="1"/>
    <x v="38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500000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8342"/>
    <x v="1"/>
    <x v="38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1793.5"/>
    <x v="1"/>
    <x v="38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41735.5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12505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195975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4100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125087.5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570.5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5167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9586.5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6001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1400322.5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12511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8148"/>
    <x v="1"/>
    <x v="38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5753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11052.5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30035.5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672446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1000188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501051.5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4500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0028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2264.5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12805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0025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10062.5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32563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5427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18216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2898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0591.595000000001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2455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50012.5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7485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10397.5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5857.5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25241.5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1139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6913.5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1400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11129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2055.5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592.5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4160.5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520.5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3952.5"/>
    <x v="1"/>
    <x v="38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25013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16566.5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2505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12664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60.5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56930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37500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5150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590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500.5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250775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002.5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650064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755"/>
    <x v="1"/>
    <x v="38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157.5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105096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400013"/>
    <x v="1"/>
    <x v="38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750000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13020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50000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5645.5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630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5187.5"/>
    <x v="1"/>
    <x v="6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2372.5"/>
    <x v="1"/>
    <x v="6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5005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520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612.5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469.5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569.5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775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100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26350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5048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79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397.5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350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8770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12500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27625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21752.5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2080.5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1275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517.5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3507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2265.5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6533.75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7452.5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7212.6149999999998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5550"/>
    <x v="1"/>
    <x v="6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4020"/>
    <x v="1"/>
    <x v="6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5350"/>
    <x v="1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1751.1100000000001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4534.5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051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4543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13725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2584.5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985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45539.915000000001"/>
    <x v="1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3242.5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2802.5"/>
    <x v="1"/>
    <x v="6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8120.5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2122.5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7308.5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2150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0150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3017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5239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2041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2717.5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2038"/>
    <x v="1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4497.41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1318.5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522.5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7031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2612.5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4455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1000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3235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16222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65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0890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2000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1950.5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5051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793.5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5500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2785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1500900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5572.5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15055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3804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25000.5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012.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3863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625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250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4136.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2500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4025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5087.5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10417.85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3386.5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25270.5"/>
    <x v="1"/>
    <x v="6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4525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6003.5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2128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35061.5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2000.5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4860.5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12126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20011"/>
    <x v="1"/>
    <x v="6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15063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4068.5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2810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3247.5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30305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2023.5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1225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1350"/>
    <x v="1"/>
    <x v="6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7082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20786.5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2728.5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1305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1156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5470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4007.855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15240.5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20060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35137.82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2972.5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6035.49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3008.5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9150.5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11365.21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8113.5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1623.5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21452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10561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2573.25"/>
    <x v="1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12047.5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5635.5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25194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1580.5"/>
    <x v="1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2563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20182.5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13081.75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412.5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11403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2062.9949999999999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7182.5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3709.3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5231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3307.5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12385.5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2652.08"/>
    <x v="1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2537.5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3564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6938.5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15157.5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2280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8060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1815"/>
    <x v="1"/>
    <x v="6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1725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2721.5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4148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15602.5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802.5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4879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215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2542.5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6214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2030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5540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31410.25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819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3024"/>
    <x v="1"/>
    <x v="6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5301.5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5132.5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2500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10013.244999999999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582.60500000000002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2212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535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5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6085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655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710.005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1830.5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5502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0086.5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3243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3542.5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3502"/>
    <x v="1"/>
    <x v="6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8542.5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1943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15338.75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4040.5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2065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1033.4000000000001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3890"/>
    <x v="1"/>
    <x v="6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454"/>
    <x v="1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6502.5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2623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2500.5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2160.5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1243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200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11742.09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1082.5"/>
    <x v="1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2256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520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2512.5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518.5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3325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1129.5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12.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425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8055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805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217.5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1084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1547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5113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6000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580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4618.5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5008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50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2627.5"/>
    <x v="1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5163.5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8174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3572.5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3350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6050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950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4532.5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75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1575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2194.5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5508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267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3577.5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5027.5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5188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1037.5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3029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980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1510.5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2010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10149.5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4125"/>
    <x v="1"/>
    <x v="6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9062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5336.5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795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7805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3089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2550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802.5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820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1023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5097.5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1633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238.5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1017.5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2002.5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3615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3000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8000.5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8042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571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2036.5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3066.5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4045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3513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1852.5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6000.33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2000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2050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3253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1528.5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0725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1518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807.5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500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1543.5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666.5"/>
    <x v="1"/>
    <x v="6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710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1532.5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265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4221.5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1222.5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0020.5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2927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15732.5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2000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555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415.75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0015.5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2071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777.5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559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3127.5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5267.5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3000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575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3052.5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00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4392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1700.0050000000001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4017.5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2840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833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057.5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3136.5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00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6107.5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30445.55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3902.5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1500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2027.5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72.5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2085.4949999999999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2000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2096.5"/>
    <x v="1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9512.5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10277.5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1060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5147.5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3015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2552.5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1408.0700000000002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5130.46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2532.5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250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1427.5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583.5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2000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1041"/>
    <x v="1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1039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2202.5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1082.5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630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654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1266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342.5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702.5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0032.5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4369.5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2402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1097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565.5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725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97.5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377.5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10169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058.09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2030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3975"/>
    <x v="1"/>
    <x v="6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3015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11089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2987.5"/>
    <x v="1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312.5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786.5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2020.5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4900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2010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320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306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1938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2128.5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1709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820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0940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3575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354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2678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1655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3828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2277.5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3318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5317.5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1137.5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645.5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3900.1099999999997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1500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400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5171.5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3366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1618.5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1670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2055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1031.5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1505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4108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2594.5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000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2547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3022.5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0220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40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3095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902.5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1509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1000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3057.5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25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3040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500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4000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1575.345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2013.5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2007.5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71.5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1395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4273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0078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515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3333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6507.5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1659.5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580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2750"/>
    <x v="1"/>
    <x v="6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1140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1051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565.5"/>
    <x v="1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6405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2031.5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90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946.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2284.5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659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334.5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1230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5561.5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1535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2500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250.5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1112.5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37521.625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2120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1010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2560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1513.75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773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72.5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5335.5550000000003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2400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2205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00018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427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1017.5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3335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2530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392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513.72500000000002"/>
    <x v="1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1002.5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1037.5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2047.5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1044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1055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5012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2143.5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1665.5"/>
    <x v="1"/>
    <x v="6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00"/>
    <x v="1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042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5977.5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10066.5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100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690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1500.1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500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962.5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1500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1935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3127.5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232.5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3725"/>
    <x v="1"/>
    <x v="6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7853.5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566.5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200.5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4550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5001.5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962.5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2272.5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3159.5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1807.5"/>
    <x v="1"/>
    <x v="6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2840.5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1142.5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2532.5"/>
    <x v="1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1050.5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755"/>
    <x v="1"/>
    <x v="6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11.5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2043.5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4001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2030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3192.5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55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3454"/>
    <x v="1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565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800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2482.5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1311.5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2950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6110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1250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2510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2585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2810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810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2010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1065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10772.5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3146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1000.495"/>
    <x v="1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2750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3074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040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4036.5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2000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50000"/>
    <x v="9"/>
    <x v="41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500001"/>
    <x v="9"/>
    <x v="41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500.5"/>
    <x v="9"/>
    <x v="41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2912.5"/>
    <x v="9"/>
    <x v="41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300"/>
    <x v="9"/>
    <x v="41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3381"/>
    <x v="9"/>
    <x v="41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39092.5"/>
    <x v="9"/>
    <x v="41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2388"/>
    <x v="9"/>
    <x v="41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75000"/>
    <x v="9"/>
    <x v="41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1963"/>
    <x v="9"/>
    <x v="41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758"/>
    <x v="9"/>
    <x v="41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2500.5"/>
    <x v="9"/>
    <x v="41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527.5"/>
    <x v="9"/>
    <x v="41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1500"/>
    <x v="9"/>
    <x v="41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357.5"/>
    <x v="9"/>
    <x v="41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12500"/>
    <x v="9"/>
    <x v="41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2910.5"/>
    <x v="9"/>
    <x v="41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500.5"/>
    <x v="9"/>
    <x v="41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5240.5"/>
    <x v="9"/>
    <x v="41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265"/>
    <x v="9"/>
    <x v="41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40076.5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765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500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10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526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2005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2058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5406.5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5145.5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2107.5"/>
    <x v="1"/>
    <x v="6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1505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3030.5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250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3165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8057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29.5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837.5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667"/>
    <x v="1"/>
    <x v="6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1200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3047.5550000000003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1017.5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1191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30.5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3515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3023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4272.5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4500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60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915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12174.25"/>
    <x v="1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2025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2101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3191.5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1059.5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3588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3690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896.5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5142.5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352.5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5006.125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3137.5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3275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1650"/>
    <x v="1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45592"/>
    <x v="1"/>
    <x v="6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1130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81.5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3630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4002.5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2550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2080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5263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2510"/>
    <x v="1"/>
    <x v="6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553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1502.5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3137.5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1173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354.505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2876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660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1430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1400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1041.25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1567.5"/>
    <x v="1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535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9515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2015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117.5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3545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1023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4015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848.5"/>
    <x v="1"/>
    <x v="6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310"/>
    <x v="1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3374.5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5020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1584"/>
    <x v="1"/>
    <x v="6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4546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354.7749999999996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340.5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1864.5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2007.5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10931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2681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550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3060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490.5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750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963.5"/>
    <x v="1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85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755"/>
    <x v="1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425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885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2402.5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1179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10000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50"/>
    <x v="1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1100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600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55"/>
    <x v="1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4351"/>
    <x v="1"/>
    <x v="6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1262.5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5088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512.5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6013.5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163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532.5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5083.5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2750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631.5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4525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3649"/>
    <x v="1"/>
    <x v="40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1517.5"/>
    <x v="1"/>
    <x v="40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4204.8850000000002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025.3850000000002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500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1289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5000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1500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71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132.505000000001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2167.5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4153.0550000000003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1100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2000"/>
    <x v="1"/>
    <x v="40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1230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5255"/>
    <x v="1"/>
    <x v="40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5205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2500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2002.5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8268.5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2432"/>
    <x v="1"/>
    <x v="40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2460.5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5298.5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2750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4717.5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2017.5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1373.5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075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2507.5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6329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0.5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3775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1833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7500"/>
    <x v="1"/>
    <x v="40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750"/>
    <x v="1"/>
    <x v="40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6267.5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5588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2525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305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1250.5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5690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35512.5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5201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11440.5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2713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1500"/>
    <x v="1"/>
    <x v="40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7179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4000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75001.5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3752.5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977.5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1000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2012.5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1663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537.5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2095.5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2109.9949999999999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1801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1000.005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1644.2849999999999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2072.5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410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1032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365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3579.5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5250.5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2575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260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5135.5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657.5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3790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5000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500.5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162.5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15.05500000000006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228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1300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3135.5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260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850"/>
    <x v="1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2021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412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2012.5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33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5436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3048.5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3032.5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6933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20421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3594.5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6098.5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7564.5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16056.5"/>
    <x v="1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519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1676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5010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50013"/>
    <x v="1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6394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512.5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2500.5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2630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255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250.5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3530"/>
    <x v="1"/>
    <x v="6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50"/>
    <x v="1"/>
    <x v="6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3750.5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3000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530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1531.5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1005.5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1125.5"/>
    <x v="1"/>
    <x v="6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2505"/>
    <x v="1"/>
    <x v="4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6781.5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5750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770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7500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2750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310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15000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2979.5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13120.5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9005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7500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4240"/>
    <x v="1"/>
    <x v="4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62.5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15000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7500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5000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187500"/>
    <x v="1"/>
    <x v="40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5000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017.5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1271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4059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8762"/>
    <x v="1"/>
    <x v="6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530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500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30387.5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7760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25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88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1470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1657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5062.5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1317.5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1512.5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2232.5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750"/>
    <x v="1"/>
    <x v="6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5001.5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836.5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1255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576.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407.5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0067.5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3092.5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5496.5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7500.5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5500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1704.5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752.5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1000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755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30060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2545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1317.5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1500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405.5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6442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8645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82.5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2507.5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62.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2825.5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10226.5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5000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4000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6000.5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4051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2775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2157.5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10000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685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1826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2502.5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2505.5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775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600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3391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2500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1002.5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097.5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1550.5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15000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5788.5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012.5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00000.5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13012.5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8800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12500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1087.5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2750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14003.5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1320.5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746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522.5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2510.5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722.5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5000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1063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1142.5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3772.5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1055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2763.5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1518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7505.5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7068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605.5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4452.5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660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339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960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45652.5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1107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3055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1475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5612.5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510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7508.5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797.5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1320.5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2744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275.5"/>
    <x v="1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766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1500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859.5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300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5270.5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25001.5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1002.5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35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1748.5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1500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982.5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4078"/>
    <x v="1"/>
    <x v="6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4005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826.5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636.5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100.5"/>
    <x v="1"/>
    <x v="6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250.5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1520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15001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1002.5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530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1002.5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471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134.5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287.5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013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4500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3500.5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285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052.5"/>
    <x v="1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815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1764.5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50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7562.5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15260.5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3500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405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2625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2000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1607.5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1280.5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10000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1450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2500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3230.5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15020.994999999999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6850"/>
    <x v="1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6842.5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4411.5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390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1400.5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400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5250"/>
    <x v="1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2510.5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5010.5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150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412.5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2500.5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030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555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10000.5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0008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750.5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250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2063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305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4440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2940.5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1147.5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2137.5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1922.5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5125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142.5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262.5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0245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4817.5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1192.5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2013.5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7512.5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4022.5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1764.9749999999999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840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582.5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10000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502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768.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1742.5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1288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350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8167.5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125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1502.5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1500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1287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76.5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2129.5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505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755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523.5"/>
    <x v="1"/>
    <x v="6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4800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1108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262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516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902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55010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280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1365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15400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1950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5000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37500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2275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135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300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318.5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550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1820.5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17650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4265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20.5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1529.5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250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93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47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250.5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751.5"/>
    <x v="1"/>
    <x v="6"/>
    <x v="4113"/>
    <d v="2016-01-08T01:34:00"/>
  </r>
  <r>
    <m/>
    <m/>
    <m/>
    <m/>
    <m/>
    <x v="4"/>
    <m/>
    <m/>
    <m/>
    <m/>
    <m/>
    <m/>
    <m/>
    <m/>
    <m/>
    <m/>
    <x v="10"/>
    <x v="42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1AF02C-9118-46DA-9344-E1E5D6228EEC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5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urrency" fld="7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CB15EC-F94F-48E1-A4E5-5AFC9415064A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8" firstHeaderRow="1" firstDataRow="2" firstDataCol="1" rowPageCount="2" colPageCount="1"/>
  <pivotFields count="18">
    <pivotField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dataField="1"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>
      <items count="2882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x="2880"/>
        <item t="default"/>
      </items>
    </pivotField>
    <pivotField showAll="0"/>
    <pivotField axis="axisPage" showAll="0">
      <items count="12">
        <item x="0"/>
        <item x="7"/>
        <item x="6"/>
        <item x="5"/>
        <item x="4"/>
        <item x="8"/>
        <item x="3"/>
        <item x="2"/>
        <item x="1"/>
        <item x="9"/>
        <item x="10"/>
        <item t="default"/>
      </items>
    </pivotField>
    <pivotField axis="axisRow" showAll="0">
      <items count="44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x="42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urrency" fld="7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98A09F-FEE2-476C-B317-0CFE1F969EA4}" name="PivotTable9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5:G2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2">
        <item x="0"/>
        <item x="7"/>
        <item x="6"/>
        <item x="5"/>
        <item x="4"/>
        <item x="8"/>
        <item x="3"/>
        <item x="2"/>
        <item x="1"/>
        <item x="9"/>
        <item x="10"/>
        <item t="default"/>
      </items>
    </pivotField>
    <pivotField showAll="0">
      <items count="44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x="42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currency" fld="7" subtotal="count" baseField="0" baseItem="0"/>
  </dataFields>
  <chartFormats count="5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92009-B2D2-43AE-A83D-70B6471AD09A}">
  <sheetPr codeName="Sheet1"/>
  <dimension ref="A1:F15"/>
  <sheetViews>
    <sheetView zoomScale="99" zoomScaleNormal="99" workbookViewId="0">
      <selection activeCell="G10" sqref="G10"/>
    </sheetView>
  </sheetViews>
  <sheetFormatPr defaultRowHeight="14.5" x14ac:dyDescent="0.35"/>
  <cols>
    <col min="1" max="1" width="16.7265625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6" width="11.26953125" bestFit="1" customWidth="1"/>
    <col min="7" max="7" width="12.7265625" bestFit="1" customWidth="1"/>
    <col min="8" max="8" width="6.54296875" bestFit="1" customWidth="1"/>
    <col min="9" max="9" width="15.54296875" bestFit="1" customWidth="1"/>
    <col min="10" max="10" width="5.1796875" bestFit="1" customWidth="1"/>
    <col min="11" max="11" width="6.7265625" bestFit="1" customWidth="1"/>
    <col min="12" max="12" width="10.81640625" bestFit="1" customWidth="1"/>
    <col min="13" max="13" width="7.81640625" bestFit="1" customWidth="1"/>
    <col min="14" max="14" width="9.453125" bestFit="1" customWidth="1"/>
    <col min="15" max="15" width="9.7265625" bestFit="1" customWidth="1"/>
    <col min="16" max="16" width="4.26953125" bestFit="1" customWidth="1"/>
    <col min="17" max="17" width="12.453125" bestFit="1" customWidth="1"/>
    <col min="18" max="18" width="6.1796875" bestFit="1" customWidth="1"/>
    <col min="19" max="19" width="13.54296875" bestFit="1" customWidth="1"/>
    <col min="20" max="20" width="7.7265625" bestFit="1" customWidth="1"/>
    <col min="21" max="21" width="6.81640625" bestFit="1" customWidth="1"/>
    <col min="22" max="22" width="10.1796875" bestFit="1" customWidth="1"/>
    <col min="23" max="23" width="7.26953125" bestFit="1" customWidth="1"/>
    <col min="24" max="24" width="11.54296875" bestFit="1" customWidth="1"/>
    <col min="25" max="25" width="6.54296875" bestFit="1" customWidth="1"/>
    <col min="26" max="26" width="5.54296875" bestFit="1" customWidth="1"/>
    <col min="27" max="27" width="4.453125" bestFit="1" customWidth="1"/>
    <col min="28" max="28" width="15" bestFit="1" customWidth="1"/>
    <col min="29" max="29" width="11.1796875" bestFit="1" customWidth="1"/>
    <col min="30" max="30" width="4.7265625" bestFit="1" customWidth="1"/>
    <col min="31" max="31" width="13.81640625" bestFit="1" customWidth="1"/>
    <col min="32" max="32" width="6.453125" bestFit="1" customWidth="1"/>
    <col min="33" max="33" width="11" bestFit="1" customWidth="1"/>
    <col min="34" max="34" width="16.81640625" bestFit="1" customWidth="1"/>
    <col min="35" max="35" width="6.81640625" bestFit="1" customWidth="1"/>
    <col min="36" max="36" width="14.81640625" bestFit="1" customWidth="1"/>
    <col min="37" max="37" width="9.81640625" bestFit="1" customWidth="1"/>
    <col min="38" max="38" width="11.453125" bestFit="1" customWidth="1"/>
    <col min="39" max="39" width="12.1796875" bestFit="1" customWidth="1"/>
    <col min="40" max="40" width="10.1796875" bestFit="1" customWidth="1"/>
    <col min="41" max="41" width="4.81640625" bestFit="1" customWidth="1"/>
    <col min="42" max="42" width="11.7265625" bestFit="1" customWidth="1"/>
    <col min="43" max="43" width="6.1796875" bestFit="1" customWidth="1"/>
    <col min="44" max="44" width="11.26953125" bestFit="1" customWidth="1"/>
  </cols>
  <sheetData>
    <row r="1" spans="1:6" x14ac:dyDescent="0.35">
      <c r="A1" s="6" t="s">
        <v>8223</v>
      </c>
      <c r="B1" t="s">
        <v>8365</v>
      </c>
    </row>
    <row r="3" spans="1:6" x14ac:dyDescent="0.35">
      <c r="A3" s="6" t="s">
        <v>8364</v>
      </c>
      <c r="B3" s="6" t="s">
        <v>8363</v>
      </c>
    </row>
    <row r="4" spans="1:6" x14ac:dyDescent="0.35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35">
      <c r="A5" s="7" t="s">
        <v>8313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5">
      <c r="A6" s="7" t="s">
        <v>8314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5">
      <c r="A7" s="7" t="s">
        <v>8315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5">
      <c r="A8" s="7" t="s">
        <v>8316</v>
      </c>
      <c r="B8" s="8">
        <v>24</v>
      </c>
      <c r="C8" s="8"/>
      <c r="D8" s="8"/>
      <c r="E8" s="8"/>
      <c r="F8" s="8">
        <v>24</v>
      </c>
    </row>
    <row r="9" spans="1:6" x14ac:dyDescent="0.35">
      <c r="A9" s="7" t="s">
        <v>8317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5">
      <c r="A10" s="7" t="s">
        <v>8318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5">
      <c r="A11" s="7" t="s">
        <v>8319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5">
      <c r="A12" s="7" t="s">
        <v>8320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5">
      <c r="A13" s="7" t="s">
        <v>8321</v>
      </c>
      <c r="B13" s="8">
        <v>37</v>
      </c>
      <c r="C13" s="8">
        <v>473</v>
      </c>
      <c r="D13" s="8">
        <v>24</v>
      </c>
      <c r="E13" s="8">
        <v>839</v>
      </c>
      <c r="F13" s="8">
        <v>1373</v>
      </c>
    </row>
    <row r="14" spans="1:6" x14ac:dyDescent="0.35">
      <c r="A14" s="7" t="s">
        <v>8312</v>
      </c>
      <c r="B14" s="8"/>
      <c r="C14" s="8">
        <v>20</v>
      </c>
      <c r="D14" s="8"/>
      <c r="E14" s="8"/>
      <c r="F14" s="8">
        <v>20</v>
      </c>
    </row>
    <row r="15" spans="1:6" x14ac:dyDescent="0.35">
      <c r="A15" s="7" t="s">
        <v>8311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C877B-BD3C-46C8-A768-48AE942FB6DE}">
  <sheetPr codeName="Sheet2"/>
  <dimension ref="A1:F48"/>
  <sheetViews>
    <sheetView topLeftCell="A26" workbookViewId="0">
      <selection activeCell="J13" sqref="J13"/>
    </sheetView>
  </sheetViews>
  <sheetFormatPr defaultRowHeight="14.5" x14ac:dyDescent="0.35"/>
  <cols>
    <col min="1" max="1" width="16.81640625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7" width="11.26953125" bestFit="1" customWidth="1"/>
    <col min="8" max="10" width="21.1796875" bestFit="1" customWidth="1"/>
    <col min="11" max="11" width="21.81640625" bestFit="1" customWidth="1"/>
    <col min="12" max="12" width="26.26953125" bestFit="1" customWidth="1"/>
    <col min="13" max="42" width="28" bestFit="1" customWidth="1"/>
    <col min="43" max="43" width="11.26953125" bestFit="1" customWidth="1"/>
  </cols>
  <sheetData>
    <row r="1" spans="1:6" x14ac:dyDescent="0.35">
      <c r="A1" s="6" t="s">
        <v>8223</v>
      </c>
      <c r="B1" t="s">
        <v>8365</v>
      </c>
    </row>
    <row r="2" spans="1:6" x14ac:dyDescent="0.35">
      <c r="A2" s="6" t="s">
        <v>8308</v>
      </c>
      <c r="B2" t="s">
        <v>8365</v>
      </c>
    </row>
    <row r="4" spans="1:6" x14ac:dyDescent="0.35">
      <c r="A4" s="6" t="s">
        <v>8364</v>
      </c>
      <c r="B4" s="6" t="s">
        <v>8363</v>
      </c>
    </row>
    <row r="5" spans="1:6" x14ac:dyDescent="0.35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5">
      <c r="A6" s="7" t="s">
        <v>8322</v>
      </c>
      <c r="B6" s="8"/>
      <c r="C6" s="8">
        <v>100</v>
      </c>
      <c r="D6" s="8"/>
      <c r="E6" s="8"/>
      <c r="F6" s="8">
        <v>100</v>
      </c>
    </row>
    <row r="7" spans="1:6" x14ac:dyDescent="0.35">
      <c r="A7" s="7" t="s">
        <v>8348</v>
      </c>
      <c r="B7" s="8">
        <v>20</v>
      </c>
      <c r="C7" s="8"/>
      <c r="D7" s="8"/>
      <c r="E7" s="8"/>
      <c r="F7" s="8">
        <v>20</v>
      </c>
    </row>
    <row r="8" spans="1:6" x14ac:dyDescent="0.35">
      <c r="A8" s="7" t="s">
        <v>8334</v>
      </c>
      <c r="B8" s="8">
        <v>24</v>
      </c>
      <c r="C8" s="8"/>
      <c r="D8" s="8"/>
      <c r="E8" s="8"/>
      <c r="F8" s="8">
        <v>24</v>
      </c>
    </row>
    <row r="9" spans="1:6" x14ac:dyDescent="0.35">
      <c r="A9" s="7" t="s">
        <v>8349</v>
      </c>
      <c r="B9" s="8"/>
      <c r="C9" s="8">
        <v>40</v>
      </c>
      <c r="D9" s="8"/>
      <c r="E9" s="8"/>
      <c r="F9" s="8">
        <v>40</v>
      </c>
    </row>
    <row r="10" spans="1:6" x14ac:dyDescent="0.35">
      <c r="A10" s="7" t="s">
        <v>8335</v>
      </c>
      <c r="B10" s="8"/>
      <c r="C10" s="8"/>
      <c r="D10" s="8"/>
      <c r="E10" s="8">
        <v>40</v>
      </c>
      <c r="F10" s="8">
        <v>40</v>
      </c>
    </row>
    <row r="11" spans="1:6" x14ac:dyDescent="0.35">
      <c r="A11" s="7" t="s">
        <v>8323</v>
      </c>
      <c r="B11" s="8"/>
      <c r="C11" s="8"/>
      <c r="D11" s="8"/>
      <c r="E11" s="8">
        <v>180</v>
      </c>
      <c r="F11" s="8">
        <v>180</v>
      </c>
    </row>
    <row r="12" spans="1:6" x14ac:dyDescent="0.35">
      <c r="A12" s="7" t="s">
        <v>8324</v>
      </c>
      <c r="B12" s="8"/>
      <c r="C12" s="8">
        <v>80</v>
      </c>
      <c r="D12" s="8"/>
      <c r="E12" s="8"/>
      <c r="F12" s="8">
        <v>80</v>
      </c>
    </row>
    <row r="13" spans="1:6" x14ac:dyDescent="0.35">
      <c r="A13" s="7" t="s">
        <v>8336</v>
      </c>
      <c r="B13" s="8"/>
      <c r="C13" s="8"/>
      <c r="D13" s="8"/>
      <c r="E13" s="8">
        <v>40</v>
      </c>
      <c r="F13" s="8">
        <v>40</v>
      </c>
    </row>
    <row r="14" spans="1:6" x14ac:dyDescent="0.35">
      <c r="A14" s="7" t="s">
        <v>8337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5">
      <c r="A15" s="7" t="s">
        <v>8350</v>
      </c>
      <c r="B15" s="8"/>
      <c r="C15" s="8">
        <v>40</v>
      </c>
      <c r="D15" s="8"/>
      <c r="E15" s="8"/>
      <c r="F15" s="8">
        <v>40</v>
      </c>
    </row>
    <row r="16" spans="1:6" x14ac:dyDescent="0.35">
      <c r="A16" s="7" t="s">
        <v>8328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5">
      <c r="A17" s="7" t="s">
        <v>8354</v>
      </c>
      <c r="B17" s="8"/>
      <c r="C17" s="8">
        <v>20</v>
      </c>
      <c r="D17" s="8"/>
      <c r="E17" s="8"/>
      <c r="F17" s="8">
        <v>20</v>
      </c>
    </row>
    <row r="18" spans="1:6" x14ac:dyDescent="0.35">
      <c r="A18" s="7" t="s">
        <v>8355</v>
      </c>
      <c r="B18" s="8"/>
      <c r="C18" s="8"/>
      <c r="D18" s="8"/>
      <c r="E18" s="8">
        <v>140</v>
      </c>
      <c r="F18" s="8">
        <v>140</v>
      </c>
    </row>
    <row r="19" spans="1:6" x14ac:dyDescent="0.35">
      <c r="A19" s="7" t="s">
        <v>8338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5">
      <c r="A20" s="7" t="s">
        <v>8339</v>
      </c>
      <c r="B20" s="8"/>
      <c r="C20" s="8">
        <v>60</v>
      </c>
      <c r="D20" s="8"/>
      <c r="E20" s="8"/>
      <c r="F20" s="8">
        <v>60</v>
      </c>
    </row>
    <row r="21" spans="1:6" x14ac:dyDescent="0.35">
      <c r="A21" s="7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5">
      <c r="A22" s="7" t="s">
        <v>8340</v>
      </c>
      <c r="B22" s="8"/>
      <c r="C22" s="8"/>
      <c r="D22" s="8"/>
      <c r="E22" s="8">
        <v>20</v>
      </c>
      <c r="F22" s="8">
        <v>20</v>
      </c>
    </row>
    <row r="23" spans="1:6" x14ac:dyDescent="0.35">
      <c r="A23" s="7" t="s">
        <v>8331</v>
      </c>
      <c r="B23" s="8"/>
      <c r="C23" s="8">
        <v>40</v>
      </c>
      <c r="D23" s="8"/>
      <c r="E23" s="8"/>
      <c r="F23" s="8">
        <v>40</v>
      </c>
    </row>
    <row r="24" spans="1:6" x14ac:dyDescent="0.35">
      <c r="A24" s="7" t="s">
        <v>8360</v>
      </c>
      <c r="B24" s="8">
        <v>20</v>
      </c>
      <c r="C24" s="8">
        <v>40</v>
      </c>
      <c r="D24" s="8"/>
      <c r="E24" s="8">
        <v>60</v>
      </c>
      <c r="F24" s="8">
        <v>120</v>
      </c>
    </row>
    <row r="25" spans="1:6" x14ac:dyDescent="0.35">
      <c r="A25" s="7" t="s">
        <v>8344</v>
      </c>
      <c r="B25" s="8"/>
      <c r="C25" s="8">
        <v>20</v>
      </c>
      <c r="D25" s="8"/>
      <c r="E25" s="8"/>
      <c r="F25" s="8">
        <v>20</v>
      </c>
    </row>
    <row r="26" spans="1:6" x14ac:dyDescent="0.35">
      <c r="A26" s="7" t="s">
        <v>8351</v>
      </c>
      <c r="B26" s="8"/>
      <c r="C26" s="8"/>
      <c r="D26" s="8"/>
      <c r="E26" s="8">
        <v>60</v>
      </c>
      <c r="F26" s="8">
        <v>60</v>
      </c>
    </row>
    <row r="27" spans="1:6" x14ac:dyDescent="0.35">
      <c r="A27" s="7" t="s">
        <v>8345</v>
      </c>
      <c r="B27" s="8"/>
      <c r="C27" s="8">
        <v>20</v>
      </c>
      <c r="D27" s="8"/>
      <c r="E27" s="8"/>
      <c r="F27" s="8">
        <v>20</v>
      </c>
    </row>
    <row r="28" spans="1:6" x14ac:dyDescent="0.35">
      <c r="A28" s="7" t="s">
        <v>8346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5">
      <c r="A29" s="7" t="s">
        <v>8347</v>
      </c>
      <c r="B29" s="8"/>
      <c r="C29" s="8">
        <v>20</v>
      </c>
      <c r="D29" s="8"/>
      <c r="E29" s="8"/>
      <c r="F29" s="8">
        <v>20</v>
      </c>
    </row>
    <row r="30" spans="1:6" x14ac:dyDescent="0.35">
      <c r="A30" s="7" t="s">
        <v>8361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5">
      <c r="A31" s="7" t="s">
        <v>8341</v>
      </c>
      <c r="B31" s="8"/>
      <c r="C31" s="8"/>
      <c r="D31" s="8"/>
      <c r="E31" s="8">
        <v>40</v>
      </c>
      <c r="F31" s="8">
        <v>40</v>
      </c>
    </row>
    <row r="32" spans="1:6" x14ac:dyDescent="0.35">
      <c r="A32" s="7" t="s">
        <v>8352</v>
      </c>
      <c r="B32" s="8"/>
      <c r="C32" s="8"/>
      <c r="D32" s="8"/>
      <c r="E32" s="8">
        <v>20</v>
      </c>
      <c r="F32" s="8">
        <v>20</v>
      </c>
    </row>
    <row r="33" spans="1:6" x14ac:dyDescent="0.35">
      <c r="A33" s="7" t="s">
        <v>8329</v>
      </c>
      <c r="B33" s="8"/>
      <c r="C33" s="8">
        <v>20</v>
      </c>
      <c r="D33" s="8"/>
      <c r="E33" s="8"/>
      <c r="F33" s="8">
        <v>20</v>
      </c>
    </row>
    <row r="34" spans="1:6" x14ac:dyDescent="0.35">
      <c r="A34" s="7" t="s">
        <v>8342</v>
      </c>
      <c r="B34" s="8"/>
      <c r="C34" s="8"/>
      <c r="D34" s="8"/>
      <c r="E34" s="8">
        <v>260</v>
      </c>
      <c r="F34" s="8">
        <v>260</v>
      </c>
    </row>
    <row r="35" spans="1:6" x14ac:dyDescent="0.35">
      <c r="A35" s="7" t="s">
        <v>8325</v>
      </c>
      <c r="B35" s="8">
        <v>40</v>
      </c>
      <c r="C35" s="8"/>
      <c r="D35" s="8"/>
      <c r="E35" s="8"/>
      <c r="F35" s="8">
        <v>40</v>
      </c>
    </row>
    <row r="36" spans="1:6" x14ac:dyDescent="0.35">
      <c r="A36" s="7" t="s">
        <v>8326</v>
      </c>
      <c r="B36" s="8"/>
      <c r="C36" s="8"/>
      <c r="D36" s="8"/>
      <c r="E36" s="8">
        <v>60</v>
      </c>
      <c r="F36" s="8">
        <v>60</v>
      </c>
    </row>
    <row r="37" spans="1:6" x14ac:dyDescent="0.35">
      <c r="A37" s="7" t="s">
        <v>8330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5">
      <c r="A38" s="7" t="s">
        <v>8357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5">
      <c r="A39" s="7" t="s">
        <v>8362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5">
      <c r="A40" s="7" t="s">
        <v>8332</v>
      </c>
      <c r="B40" s="8"/>
      <c r="C40" s="8"/>
      <c r="D40" s="8"/>
      <c r="E40" s="8">
        <v>80</v>
      </c>
      <c r="F40" s="8">
        <v>80</v>
      </c>
    </row>
    <row r="41" spans="1:6" x14ac:dyDescent="0.35">
      <c r="A41" s="7" t="s">
        <v>8327</v>
      </c>
      <c r="B41" s="8"/>
      <c r="C41" s="8"/>
      <c r="D41" s="8"/>
      <c r="E41" s="8">
        <v>60</v>
      </c>
      <c r="F41" s="8">
        <v>60</v>
      </c>
    </row>
    <row r="42" spans="1:6" x14ac:dyDescent="0.35">
      <c r="A42" s="7" t="s">
        <v>8353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5">
      <c r="A43" s="7" t="s">
        <v>8333</v>
      </c>
      <c r="B43" s="8"/>
      <c r="C43" s="8">
        <v>100</v>
      </c>
      <c r="D43" s="8"/>
      <c r="E43" s="8"/>
      <c r="F43" s="8">
        <v>100</v>
      </c>
    </row>
    <row r="44" spans="1:6" x14ac:dyDescent="0.35">
      <c r="A44" s="7" t="s">
        <v>8358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5">
      <c r="A45" s="7" t="s">
        <v>8359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5">
      <c r="A46" s="7" t="s">
        <v>8343</v>
      </c>
      <c r="B46" s="8">
        <v>20</v>
      </c>
      <c r="C46" s="8"/>
      <c r="D46" s="8"/>
      <c r="E46" s="8"/>
      <c r="F46" s="8">
        <v>20</v>
      </c>
    </row>
    <row r="47" spans="1:6" x14ac:dyDescent="0.35">
      <c r="A47" s="7" t="s">
        <v>8312</v>
      </c>
      <c r="B47" s="8"/>
      <c r="C47" s="8">
        <v>20</v>
      </c>
      <c r="D47" s="8"/>
      <c r="E47" s="8"/>
      <c r="F47" s="8">
        <v>20</v>
      </c>
    </row>
    <row r="48" spans="1:6" x14ac:dyDescent="0.35">
      <c r="A48" s="7" t="s">
        <v>8311</v>
      </c>
      <c r="B48" s="8">
        <v>349</v>
      </c>
      <c r="C48" s="8">
        <v>1530</v>
      </c>
      <c r="D48" s="8">
        <v>50</v>
      </c>
      <c r="E48" s="8">
        <v>2185</v>
      </c>
      <c r="F48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50DDA-5A8F-4AB9-B0F3-83D731245868}">
  <sheetPr codeName="Sheet3"/>
  <dimension ref="A2:G20"/>
  <sheetViews>
    <sheetView topLeftCell="A3" workbookViewId="0">
      <selection activeCell="H12" sqref="H12"/>
    </sheetView>
  </sheetViews>
  <sheetFormatPr defaultRowHeight="14.5" x14ac:dyDescent="0.35"/>
  <cols>
    <col min="1" max="1" width="16.7265625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6" width="7.26953125" bestFit="1" customWidth="1"/>
    <col min="7" max="7" width="11.26953125" bestFit="1" customWidth="1"/>
  </cols>
  <sheetData>
    <row r="2" spans="1:7" x14ac:dyDescent="0.35">
      <c r="A2" s="6" t="s">
        <v>8308</v>
      </c>
      <c r="B2" t="s">
        <v>8365</v>
      </c>
    </row>
    <row r="3" spans="1:7" x14ac:dyDescent="0.35">
      <c r="A3" s="6" t="s">
        <v>8381</v>
      </c>
      <c r="B3" t="s">
        <v>8365</v>
      </c>
    </row>
    <row r="5" spans="1:7" x14ac:dyDescent="0.35">
      <c r="A5" s="6" t="s">
        <v>8364</v>
      </c>
      <c r="B5" s="6" t="s">
        <v>8363</v>
      </c>
    </row>
    <row r="6" spans="1:7" x14ac:dyDescent="0.35">
      <c r="A6" s="6" t="s">
        <v>8310</v>
      </c>
      <c r="B6" t="s">
        <v>8220</v>
      </c>
      <c r="C6" t="s">
        <v>8221</v>
      </c>
      <c r="D6" t="s">
        <v>8222</v>
      </c>
      <c r="E6" t="s">
        <v>8219</v>
      </c>
      <c r="F6" t="s">
        <v>8366</v>
      </c>
      <c r="G6" t="s">
        <v>8311</v>
      </c>
    </row>
    <row r="7" spans="1:7" x14ac:dyDescent="0.35">
      <c r="A7" s="7" t="s">
        <v>8366</v>
      </c>
      <c r="B7" s="8"/>
      <c r="C7" s="8"/>
      <c r="D7" s="8"/>
      <c r="E7" s="8"/>
      <c r="F7" s="8"/>
      <c r="G7" s="8"/>
    </row>
    <row r="8" spans="1:7" x14ac:dyDescent="0.35">
      <c r="A8" s="7" t="s">
        <v>8375</v>
      </c>
      <c r="B8" s="8">
        <v>34</v>
      </c>
      <c r="C8" s="8">
        <v>149</v>
      </c>
      <c r="D8" s="8">
        <v>2</v>
      </c>
      <c r="E8" s="8">
        <v>183</v>
      </c>
      <c r="F8" s="8"/>
      <c r="G8" s="8">
        <v>368</v>
      </c>
    </row>
    <row r="9" spans="1:7" x14ac:dyDescent="0.35">
      <c r="A9" s="7" t="s">
        <v>8376</v>
      </c>
      <c r="B9" s="8">
        <v>27</v>
      </c>
      <c r="C9" s="8">
        <v>105</v>
      </c>
      <c r="D9" s="8">
        <v>18</v>
      </c>
      <c r="E9" s="8">
        <v>202</v>
      </c>
      <c r="F9" s="8"/>
      <c r="G9" s="8">
        <v>352</v>
      </c>
    </row>
    <row r="10" spans="1:7" x14ac:dyDescent="0.35">
      <c r="A10" s="7" t="s">
        <v>8377</v>
      </c>
      <c r="B10" s="8">
        <v>28</v>
      </c>
      <c r="C10" s="8">
        <v>108</v>
      </c>
      <c r="D10" s="8">
        <v>30</v>
      </c>
      <c r="E10" s="8">
        <v>179</v>
      </c>
      <c r="F10" s="8"/>
      <c r="G10" s="8">
        <v>345</v>
      </c>
    </row>
    <row r="11" spans="1:7" x14ac:dyDescent="0.35">
      <c r="A11" s="7" t="s">
        <v>8378</v>
      </c>
      <c r="B11" s="8">
        <v>27</v>
      </c>
      <c r="C11" s="8">
        <v>103</v>
      </c>
      <c r="D11" s="8"/>
      <c r="E11" s="8">
        <v>193</v>
      </c>
      <c r="F11" s="8"/>
      <c r="G11" s="8">
        <v>323</v>
      </c>
    </row>
    <row r="12" spans="1:7" x14ac:dyDescent="0.35">
      <c r="A12" s="7" t="s">
        <v>8369</v>
      </c>
      <c r="B12" s="8">
        <v>26</v>
      </c>
      <c r="C12" s="8">
        <v>126</v>
      </c>
      <c r="D12" s="8"/>
      <c r="E12" s="8">
        <v>233</v>
      </c>
      <c r="F12" s="8"/>
      <c r="G12" s="8">
        <v>385</v>
      </c>
    </row>
    <row r="13" spans="1:7" x14ac:dyDescent="0.35">
      <c r="A13" s="7" t="s">
        <v>8379</v>
      </c>
      <c r="B13" s="8">
        <v>27</v>
      </c>
      <c r="C13" s="8">
        <v>148</v>
      </c>
      <c r="D13" s="8"/>
      <c r="E13" s="8">
        <v>213</v>
      </c>
      <c r="F13" s="8"/>
      <c r="G13" s="8">
        <v>388</v>
      </c>
    </row>
    <row r="14" spans="1:7" x14ac:dyDescent="0.35">
      <c r="A14" s="7" t="s">
        <v>8370</v>
      </c>
      <c r="B14" s="8">
        <v>44</v>
      </c>
      <c r="C14" s="8">
        <v>148</v>
      </c>
      <c r="D14" s="8"/>
      <c r="E14" s="8">
        <v>192</v>
      </c>
      <c r="F14" s="8"/>
      <c r="G14" s="8">
        <v>384</v>
      </c>
    </row>
    <row r="15" spans="1:7" x14ac:dyDescent="0.35">
      <c r="A15" s="7" t="s">
        <v>8371</v>
      </c>
      <c r="B15" s="8">
        <v>32</v>
      </c>
      <c r="C15" s="8">
        <v>134</v>
      </c>
      <c r="D15" s="8"/>
      <c r="E15" s="8">
        <v>167</v>
      </c>
      <c r="F15" s="8"/>
      <c r="G15" s="8">
        <v>333</v>
      </c>
    </row>
    <row r="16" spans="1:7" x14ac:dyDescent="0.35">
      <c r="A16" s="7" t="s">
        <v>8372</v>
      </c>
      <c r="B16" s="8">
        <v>24</v>
      </c>
      <c r="C16" s="8">
        <v>127</v>
      </c>
      <c r="D16" s="8"/>
      <c r="E16" s="8">
        <v>148</v>
      </c>
      <c r="F16" s="8"/>
      <c r="G16" s="8">
        <v>299</v>
      </c>
    </row>
    <row r="17" spans="1:7" x14ac:dyDescent="0.35">
      <c r="A17" s="7" t="s">
        <v>8373</v>
      </c>
      <c r="B17" s="8">
        <v>20</v>
      </c>
      <c r="C17" s="8">
        <v>150</v>
      </c>
      <c r="D17" s="8"/>
      <c r="E17" s="8">
        <v>184</v>
      </c>
      <c r="F17" s="8"/>
      <c r="G17" s="8">
        <v>354</v>
      </c>
    </row>
    <row r="18" spans="1:7" x14ac:dyDescent="0.35">
      <c r="A18" s="7" t="s">
        <v>8374</v>
      </c>
      <c r="B18" s="8">
        <v>37</v>
      </c>
      <c r="C18" s="8">
        <v>113</v>
      </c>
      <c r="D18" s="8"/>
      <c r="E18" s="8">
        <v>180</v>
      </c>
      <c r="F18" s="8"/>
      <c r="G18" s="8">
        <v>330</v>
      </c>
    </row>
    <row r="19" spans="1:7" x14ac:dyDescent="0.35">
      <c r="A19" s="7" t="s">
        <v>8380</v>
      </c>
      <c r="B19" s="8">
        <v>23</v>
      </c>
      <c r="C19" s="8">
        <v>119</v>
      </c>
      <c r="D19" s="8"/>
      <c r="E19" s="8">
        <v>111</v>
      </c>
      <c r="F19" s="8"/>
      <c r="G19" s="8">
        <v>253</v>
      </c>
    </row>
    <row r="20" spans="1:7" x14ac:dyDescent="0.35">
      <c r="A20" s="7" t="s">
        <v>8311</v>
      </c>
      <c r="B20" s="8">
        <v>349</v>
      </c>
      <c r="C20" s="8">
        <v>1530</v>
      </c>
      <c r="D20" s="8">
        <v>50</v>
      </c>
      <c r="E20" s="8">
        <v>2185</v>
      </c>
      <c r="F20" s="8"/>
      <c r="G20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abSelected="1" zoomScale="55" zoomScaleNormal="55" workbookViewId="0">
      <selection activeCell="D12" sqref="D12"/>
    </sheetView>
  </sheetViews>
  <sheetFormatPr defaultRowHeight="14.5" x14ac:dyDescent="0.35"/>
  <cols>
    <col min="1" max="1" width="6.81640625" bestFit="1" customWidth="1"/>
    <col min="2" max="2" width="43" style="3" bestFit="1" customWidth="1"/>
    <col min="3" max="3" width="49.26953125" style="3" bestFit="1" customWidth="1"/>
    <col min="4" max="4" width="13.453125" bestFit="1" customWidth="1"/>
    <col min="5" max="5" width="14.7265625" bestFit="1" customWidth="1"/>
    <col min="6" max="6" width="11.26953125" bestFit="1" customWidth="1"/>
    <col min="7" max="7" width="11" bestFit="1" customWidth="1"/>
    <col min="8" max="8" width="12.1796875" bestFit="1" customWidth="1"/>
    <col min="9" max="9" width="14.7265625" bestFit="1" customWidth="1"/>
    <col min="10" max="10" width="16.26953125" customWidth="1"/>
    <col min="11" max="11" width="14.453125" bestFit="1" customWidth="1"/>
    <col min="12" max="12" width="19.54296875" bestFit="1" customWidth="1"/>
    <col min="13" max="13" width="13.1796875" bestFit="1" customWidth="1"/>
    <col min="14" max="14" width="36.26953125" bestFit="1" customWidth="1"/>
    <col min="15" max="15" width="20.7265625" bestFit="1" customWidth="1"/>
    <col min="16" max="16" width="23.7265625" bestFit="1" customWidth="1"/>
    <col min="17" max="17" width="13.81640625" bestFit="1" customWidth="1"/>
    <col min="18" max="18" width="18.81640625" bestFit="1" customWidth="1"/>
    <col min="19" max="19" width="32.54296875" bestFit="1" customWidth="1"/>
    <col min="20" max="20" width="3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AVERAGE(D2:E2)</f>
        <v>10066.5</v>
      </c>
      <c r="Q2" t="str">
        <f>IF(N2="film &amp; video/television","film &amp; video")</f>
        <v>film &amp; video</v>
      </c>
      <c r="R2" t="str">
        <f>IF(N2="film &amp; video/television","television")</f>
        <v>television</v>
      </c>
      <c r="S2" s="9">
        <f>J2/86400+25569+(-5/24)</f>
        <v>42176.798738425925</v>
      </c>
      <c r="T2" s="9">
        <f>I2/86400+25569+(-5/24)</f>
        <v>42207.916666666664</v>
      </c>
    </row>
    <row r="3" spans="1:20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AVERAGE(D3:E3)</f>
        <v>12464</v>
      </c>
      <c r="Q3" t="str">
        <f>IF(N3="film &amp; video/television","film &amp; video")</f>
        <v>film &amp; video</v>
      </c>
      <c r="R3" t="str">
        <f>IF(N3="film &amp; video/television","television")</f>
        <v>television</v>
      </c>
      <c r="S3" s="9">
        <f t="shared" ref="S3:S66" si="2">J3/86400+25569+(-5/24)</f>
        <v>42766.392164351848</v>
      </c>
      <c r="T3" s="9">
        <f>I3/86400+25569+(-5/24)</f>
        <v>42796.392164351848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512.5</v>
      </c>
      <c r="Q4" t="str">
        <f t="shared" ref="Q4:Q61" si="3">IF(N4="film &amp; video/television","film &amp; video")</f>
        <v>film &amp; video</v>
      </c>
      <c r="R4" t="str">
        <f t="shared" ref="R4:R61" si="4">IF(N4="film &amp; video/television","television")</f>
        <v>television</v>
      </c>
      <c r="S4" s="9">
        <f t="shared" si="2"/>
        <v>42405.494016203702</v>
      </c>
      <c r="T4" s="9">
        <f t="shared" ref="T4:T67" si="5">I4/86400+25569+(-5/24)</f>
        <v>42415.494016203702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10195</v>
      </c>
      <c r="Q5" t="str">
        <f t="shared" si="3"/>
        <v>film &amp; video</v>
      </c>
      <c r="R5" t="str">
        <f t="shared" si="4"/>
        <v>television</v>
      </c>
      <c r="S5" s="9">
        <f t="shared" si="2"/>
        <v>41828.306793981479</v>
      </c>
      <c r="T5" s="9">
        <f t="shared" si="5"/>
        <v>41858.306793981479</v>
      </c>
    </row>
    <row r="6" spans="1:20" ht="43.5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49058.14</v>
      </c>
      <c r="Q6" t="str">
        <f t="shared" si="3"/>
        <v>film &amp; video</v>
      </c>
      <c r="R6" t="str">
        <f t="shared" si="4"/>
        <v>television</v>
      </c>
      <c r="S6" s="9">
        <f>J6/86400+25569+(-5/24)</f>
        <v>42327.625914351847</v>
      </c>
      <c r="T6" s="9">
        <f t="shared" si="5"/>
        <v>42357.625914351847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4194.5</v>
      </c>
      <c r="Q7" t="str">
        <f t="shared" si="3"/>
        <v>film &amp; video</v>
      </c>
      <c r="R7" t="str">
        <f t="shared" si="4"/>
        <v>television</v>
      </c>
      <c r="S7" s="9">
        <f t="shared" si="2"/>
        <v>42563.724618055552</v>
      </c>
      <c r="T7" s="9">
        <f t="shared" si="5"/>
        <v>42580.024305555555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8259.5</v>
      </c>
      <c r="Q8" t="str">
        <f t="shared" si="3"/>
        <v>film &amp; video</v>
      </c>
      <c r="R8" t="str">
        <f t="shared" si="4"/>
        <v>television</v>
      </c>
      <c r="S8" s="9">
        <f t="shared" si="2"/>
        <v>41793.864004629628</v>
      </c>
      <c r="T8" s="9">
        <f t="shared" si="5"/>
        <v>41803.864004629628</v>
      </c>
    </row>
    <row r="9" spans="1:20" ht="43.5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9055</v>
      </c>
      <c r="Q9" t="str">
        <f t="shared" si="3"/>
        <v>film &amp; video</v>
      </c>
      <c r="R9" t="str">
        <f t="shared" si="4"/>
        <v>television</v>
      </c>
      <c r="S9" s="9">
        <f t="shared" si="2"/>
        <v>42515.838738425919</v>
      </c>
      <c r="T9" s="9">
        <f t="shared" si="5"/>
        <v>42555.838738425919</v>
      </c>
    </row>
    <row r="10" spans="1:20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3500.76</v>
      </c>
      <c r="Q10" t="str">
        <f t="shared" si="3"/>
        <v>film &amp; video</v>
      </c>
      <c r="R10" t="str">
        <f t="shared" si="4"/>
        <v>television</v>
      </c>
      <c r="S10" s="9">
        <f t="shared" si="2"/>
        <v>42468.736249999994</v>
      </c>
      <c r="T10" s="9">
        <f t="shared" si="5"/>
        <v>42475.666666666664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564.995</v>
      </c>
      <c r="Q11" t="str">
        <f t="shared" si="3"/>
        <v>film &amp; video</v>
      </c>
      <c r="R11" t="str">
        <f t="shared" si="4"/>
        <v>television</v>
      </c>
      <c r="S11" s="9">
        <f t="shared" si="2"/>
        <v>42446.895185185182</v>
      </c>
      <c r="T11" s="9">
        <f t="shared" si="5"/>
        <v>42476.895185185182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3007.5</v>
      </c>
      <c r="Q12" t="str">
        <f t="shared" si="3"/>
        <v>film &amp; video</v>
      </c>
      <c r="R12" t="str">
        <f t="shared" si="4"/>
        <v>television</v>
      </c>
      <c r="S12" s="9">
        <f t="shared" si="2"/>
        <v>41779.859710648147</v>
      </c>
      <c r="T12" s="9">
        <f t="shared" si="5"/>
        <v>41814.859710648147</v>
      </c>
    </row>
    <row r="13" spans="1:20" ht="43.5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5512.5</v>
      </c>
      <c r="Q13" t="str">
        <f t="shared" si="3"/>
        <v>film &amp; video</v>
      </c>
      <c r="R13" t="str">
        <f t="shared" si="4"/>
        <v>television</v>
      </c>
      <c r="S13" s="9">
        <f t="shared" si="2"/>
        <v>42572.570162037031</v>
      </c>
      <c r="T13" s="9">
        <f t="shared" si="5"/>
        <v>42603.916666666664</v>
      </c>
    </row>
    <row r="14" spans="1:20" ht="43.5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39794</v>
      </c>
      <c r="Q14" t="str">
        <f t="shared" si="3"/>
        <v>film &amp; video</v>
      </c>
      <c r="R14" t="str">
        <f t="shared" si="4"/>
        <v>television</v>
      </c>
      <c r="S14" s="9">
        <f t="shared" si="2"/>
        <v>41791.504918981482</v>
      </c>
      <c r="T14" s="9">
        <f t="shared" si="5"/>
        <v>41835.916666666664</v>
      </c>
    </row>
    <row r="15" spans="1:20" ht="29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4549.5</v>
      </c>
      <c r="Q15" t="str">
        <f t="shared" si="3"/>
        <v>film &amp; video</v>
      </c>
      <c r="R15" t="str">
        <f t="shared" si="4"/>
        <v>television</v>
      </c>
      <c r="S15" s="9">
        <f t="shared" si="2"/>
        <v>42508.468854166662</v>
      </c>
      <c r="T15" s="9">
        <f t="shared" si="5"/>
        <v>42544.643749999996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6028</v>
      </c>
      <c r="Q16" t="str">
        <f t="shared" si="3"/>
        <v>film &amp; video</v>
      </c>
      <c r="R16" t="str">
        <f t="shared" si="4"/>
        <v>television</v>
      </c>
      <c r="S16" s="9">
        <f t="shared" si="2"/>
        <v>41807.818148148144</v>
      </c>
      <c r="T16" s="9">
        <f t="shared" si="5"/>
        <v>41833.374305555553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2066</v>
      </c>
      <c r="Q17" t="str">
        <f t="shared" si="3"/>
        <v>film &amp; video</v>
      </c>
      <c r="R17" t="str">
        <f t="shared" si="4"/>
        <v>television</v>
      </c>
      <c r="S17" s="9">
        <f t="shared" si="2"/>
        <v>42256.183541666665</v>
      </c>
      <c r="T17" s="9">
        <f t="shared" si="5"/>
        <v>42274.634722222218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12014.5</v>
      </c>
      <c r="Q18" t="str">
        <f t="shared" si="3"/>
        <v>film &amp; video</v>
      </c>
      <c r="R18" t="str">
        <f t="shared" si="4"/>
        <v>television</v>
      </c>
      <c r="S18" s="9">
        <f t="shared" si="2"/>
        <v>41760.588090277779</v>
      </c>
      <c r="T18" s="9">
        <f t="shared" si="5"/>
        <v>41806.020833333328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1505</v>
      </c>
      <c r="Q19" t="str">
        <f t="shared" si="3"/>
        <v>film &amp; video</v>
      </c>
      <c r="R19" t="str">
        <f t="shared" si="4"/>
        <v>television</v>
      </c>
      <c r="S19" s="9">
        <f t="shared" si="2"/>
        <v>41917.523402777777</v>
      </c>
      <c r="T19" s="9">
        <f t="shared" si="5"/>
        <v>41947.565069444441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30948.165000000001</v>
      </c>
      <c r="Q20" t="str">
        <f t="shared" si="3"/>
        <v>film &amp; video</v>
      </c>
      <c r="R20" t="str">
        <f t="shared" si="4"/>
        <v>television</v>
      </c>
      <c r="S20" s="9">
        <f t="shared" si="2"/>
        <v>41869.333981481475</v>
      </c>
      <c r="T20" s="9">
        <f t="shared" si="5"/>
        <v>41899.333981481475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1042.5</v>
      </c>
      <c r="Q21" t="str">
        <f t="shared" si="3"/>
        <v>film &amp; video</v>
      </c>
      <c r="R21" t="str">
        <f t="shared" si="4"/>
        <v>television</v>
      </c>
      <c r="S21" s="9">
        <f t="shared" si="2"/>
        <v>42175.608032407406</v>
      </c>
      <c r="T21" s="9">
        <f t="shared" si="5"/>
        <v>42205.608032407406</v>
      </c>
    </row>
    <row r="22" spans="1:20" ht="29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2002</v>
      </c>
      <c r="Q22" t="str">
        <f t="shared" si="3"/>
        <v>film &amp; video</v>
      </c>
      <c r="R22" t="str">
        <f t="shared" si="4"/>
        <v>television</v>
      </c>
      <c r="S22" s="9">
        <f t="shared" si="2"/>
        <v>42200.549907407403</v>
      </c>
      <c r="T22" s="9">
        <f t="shared" si="5"/>
        <v>42260.549907407403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19345</v>
      </c>
      <c r="Q23" t="str">
        <f t="shared" si="3"/>
        <v>film &amp; video</v>
      </c>
      <c r="R23" t="str">
        <f t="shared" si="4"/>
        <v>television</v>
      </c>
      <c r="S23" s="9">
        <f t="shared" si="2"/>
        <v>41878.418854166666</v>
      </c>
      <c r="T23" s="9">
        <f t="shared" si="5"/>
        <v>41908.418854166666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380</v>
      </c>
      <c r="Q24" t="str">
        <f t="shared" si="3"/>
        <v>film &amp; video</v>
      </c>
      <c r="R24" t="str">
        <f t="shared" si="4"/>
        <v>television</v>
      </c>
      <c r="S24" s="9">
        <f t="shared" si="2"/>
        <v>41989.703009259254</v>
      </c>
      <c r="T24" s="9">
        <f t="shared" si="5"/>
        <v>42005.124305555553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2185</v>
      </c>
      <c r="Q25" t="str">
        <f t="shared" si="3"/>
        <v>film &amp; video</v>
      </c>
      <c r="R25" t="str">
        <f t="shared" si="4"/>
        <v>television</v>
      </c>
      <c r="S25" s="9">
        <f t="shared" si="2"/>
        <v>42097.570613425924</v>
      </c>
      <c r="T25" s="9">
        <f t="shared" si="5"/>
        <v>42124.430555555555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36541.345000000001</v>
      </c>
      <c r="Q26" t="str">
        <f t="shared" si="3"/>
        <v>film &amp; video</v>
      </c>
      <c r="R26" t="str">
        <f t="shared" si="4"/>
        <v>television</v>
      </c>
      <c r="S26" s="9">
        <f t="shared" si="2"/>
        <v>42229.611840277772</v>
      </c>
      <c r="T26" s="9">
        <f t="shared" si="5"/>
        <v>42262.610416666663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700</v>
      </c>
      <c r="Q27" t="str">
        <f t="shared" si="3"/>
        <v>film &amp; video</v>
      </c>
      <c r="R27" t="str">
        <f t="shared" si="4"/>
        <v>television</v>
      </c>
      <c r="S27" s="9">
        <f t="shared" si="2"/>
        <v>42317.816678240742</v>
      </c>
      <c r="T27" s="9">
        <f t="shared" si="5"/>
        <v>42377.816678240742</v>
      </c>
    </row>
    <row r="28" spans="1:20" ht="29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1595</v>
      </c>
      <c r="Q28" t="str">
        <f t="shared" si="3"/>
        <v>film &amp; video</v>
      </c>
      <c r="R28" t="str">
        <f t="shared" si="4"/>
        <v>television</v>
      </c>
      <c r="S28" s="9">
        <f t="shared" si="2"/>
        <v>41828.307222222218</v>
      </c>
      <c r="T28" s="9">
        <f t="shared" si="5"/>
        <v>41868.307222222218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21172.5</v>
      </c>
      <c r="Q29" t="str">
        <f t="shared" si="3"/>
        <v>film &amp; video</v>
      </c>
      <c r="R29" t="str">
        <f t="shared" si="4"/>
        <v>television</v>
      </c>
      <c r="S29" s="9">
        <f t="shared" si="2"/>
        <v>41928.956400462957</v>
      </c>
      <c r="T29" s="9">
        <f t="shared" si="5"/>
        <v>41958.998067129629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12021</v>
      </c>
      <c r="Q30" t="str">
        <f t="shared" si="3"/>
        <v>film &amp; video</v>
      </c>
      <c r="R30" t="str">
        <f t="shared" si="4"/>
        <v>television</v>
      </c>
      <c r="S30" s="9">
        <f t="shared" si="2"/>
        <v>42324.755601851844</v>
      </c>
      <c r="T30" s="9">
        <f t="shared" si="5"/>
        <v>42354.755601851844</v>
      </c>
    </row>
    <row r="31" spans="1:20" ht="43.5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3350</v>
      </c>
      <c r="Q31" t="str">
        <f t="shared" si="3"/>
        <v>film &amp; video</v>
      </c>
      <c r="R31" t="str">
        <f t="shared" si="4"/>
        <v>television</v>
      </c>
      <c r="S31" s="9">
        <f t="shared" si="2"/>
        <v>41812.464907407404</v>
      </c>
      <c r="T31" s="9">
        <f t="shared" si="5"/>
        <v>41842.464907407404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4025.9949999999999</v>
      </c>
      <c r="Q32" t="str">
        <f t="shared" si="3"/>
        <v>film &amp; video</v>
      </c>
      <c r="R32" t="str">
        <f t="shared" si="4"/>
        <v>television</v>
      </c>
      <c r="S32" s="9">
        <f t="shared" si="2"/>
        <v>41842.084664351853</v>
      </c>
      <c r="T32" s="9">
        <f t="shared" si="5"/>
        <v>41872.084664351853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3"/>
        <v>film &amp; video</v>
      </c>
      <c r="R33" t="str">
        <f t="shared" si="4"/>
        <v>television</v>
      </c>
      <c r="S33" s="9">
        <f t="shared" si="2"/>
        <v>42376.583726851844</v>
      </c>
      <c r="T33" s="9">
        <f t="shared" si="5"/>
        <v>42394.583726851844</v>
      </c>
    </row>
    <row r="34" spans="1:20" ht="43.5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28485</v>
      </c>
      <c r="Q34" t="str">
        <f t="shared" si="3"/>
        <v>film &amp; video</v>
      </c>
      <c r="R34" t="str">
        <f t="shared" si="4"/>
        <v>television</v>
      </c>
      <c r="S34" s="9">
        <f t="shared" si="2"/>
        <v>42461.419178240736</v>
      </c>
      <c r="T34" s="9">
        <f t="shared" si="5"/>
        <v>42502.957638888889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5305</v>
      </c>
      <c r="Q35" t="str">
        <f t="shared" si="3"/>
        <v>film &amp; video</v>
      </c>
      <c r="R35" t="str">
        <f t="shared" si="4"/>
        <v>television</v>
      </c>
      <c r="S35" s="9">
        <f t="shared" si="2"/>
        <v>42286.452557870369</v>
      </c>
      <c r="T35" s="9">
        <f t="shared" si="5"/>
        <v>42316.494224537033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2996</v>
      </c>
      <c r="Q36" t="str">
        <f t="shared" si="3"/>
        <v>film &amp; video</v>
      </c>
      <c r="R36" t="str">
        <f t="shared" si="4"/>
        <v>television</v>
      </c>
      <c r="S36" s="9">
        <f t="shared" si="2"/>
        <v>41841.113437499997</v>
      </c>
      <c r="T36" s="9">
        <f t="shared" si="5"/>
        <v>41856.113437499997</v>
      </c>
    </row>
    <row r="37" spans="1:20" ht="29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1332.5</v>
      </c>
      <c r="Q37" t="str">
        <f t="shared" si="3"/>
        <v>film &amp; video</v>
      </c>
      <c r="R37" t="str">
        <f t="shared" si="4"/>
        <v>television</v>
      </c>
      <c r="S37" s="9">
        <f t="shared" si="2"/>
        <v>42098.083495370367</v>
      </c>
      <c r="T37" s="9">
        <f t="shared" si="5"/>
        <v>42121.791666666664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7264.5</v>
      </c>
      <c r="Q38" t="str">
        <f t="shared" si="3"/>
        <v>film &amp; video</v>
      </c>
      <c r="R38" t="str">
        <f t="shared" si="4"/>
        <v>television</v>
      </c>
      <c r="S38" s="9">
        <f t="shared" si="2"/>
        <v>42068.098668981482</v>
      </c>
      <c r="T38" s="9">
        <f t="shared" si="5"/>
        <v>42098.05700231481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31178.5</v>
      </c>
      <c r="Q39" t="str">
        <f t="shared" si="3"/>
        <v>film &amp; video</v>
      </c>
      <c r="R39" t="str">
        <f t="shared" si="4"/>
        <v>television</v>
      </c>
      <c r="S39" s="9">
        <f t="shared" si="2"/>
        <v>42032.484710648147</v>
      </c>
      <c r="T39" s="9">
        <f t="shared" si="5"/>
        <v>42062.484710648147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2625.5</v>
      </c>
      <c r="Q40" t="str">
        <f t="shared" si="3"/>
        <v>film &amp; video</v>
      </c>
      <c r="R40" t="str">
        <f t="shared" si="4"/>
        <v>television</v>
      </c>
      <c r="S40" s="9">
        <f t="shared" si="2"/>
        <v>41374.84888888889</v>
      </c>
      <c r="T40" s="9">
        <f t="shared" si="5"/>
        <v>41404.84888888889</v>
      </c>
    </row>
    <row r="41" spans="1:20" ht="43.5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28872.5</v>
      </c>
      <c r="Q41" t="str">
        <f t="shared" si="3"/>
        <v>film &amp; video</v>
      </c>
      <c r="R41" t="str">
        <f t="shared" si="4"/>
        <v>television</v>
      </c>
      <c r="S41" s="9">
        <f t="shared" si="2"/>
        <v>41753.838749999995</v>
      </c>
      <c r="T41" s="9">
        <f t="shared" si="5"/>
        <v>41784.749305555553</v>
      </c>
    </row>
    <row r="42" spans="1:20" ht="43.5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2013.5</v>
      </c>
      <c r="Q42" t="str">
        <f t="shared" si="3"/>
        <v>film &amp; video</v>
      </c>
      <c r="R42" t="str">
        <f t="shared" si="4"/>
        <v>television</v>
      </c>
      <c r="S42" s="9">
        <f t="shared" si="2"/>
        <v>41789.005648148144</v>
      </c>
      <c r="T42" s="9">
        <f t="shared" si="5"/>
        <v>41808.958333333328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2000</v>
      </c>
      <c r="Q43" t="str">
        <f t="shared" si="3"/>
        <v>film &amp; video</v>
      </c>
      <c r="R43" t="str">
        <f t="shared" si="4"/>
        <v>television</v>
      </c>
      <c r="S43" s="9">
        <f t="shared" si="2"/>
        <v>41887.360578703701</v>
      </c>
      <c r="T43" s="9">
        <f t="shared" si="5"/>
        <v>41917.360578703701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16930</v>
      </c>
      <c r="Q44" t="str">
        <f t="shared" si="3"/>
        <v>film &amp; video</v>
      </c>
      <c r="R44" t="str">
        <f t="shared" si="4"/>
        <v>television</v>
      </c>
      <c r="S44" s="9">
        <f t="shared" si="2"/>
        <v>41971.430856481478</v>
      </c>
      <c r="T44" s="9">
        <f t="shared" si="5"/>
        <v>42001.430856481478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20433</v>
      </c>
      <c r="Q45" t="str">
        <f t="shared" si="3"/>
        <v>film &amp; video</v>
      </c>
      <c r="R45" t="str">
        <f t="shared" si="4"/>
        <v>television</v>
      </c>
      <c r="S45" s="9">
        <f t="shared" si="2"/>
        <v>41802.582013888888</v>
      </c>
      <c r="T45" s="9">
        <f t="shared" si="5"/>
        <v>41832.791666666664</v>
      </c>
    </row>
    <row r="46" spans="1:20" ht="43.5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2000</v>
      </c>
      <c r="Q46" t="str">
        <f t="shared" si="3"/>
        <v>film &amp; video</v>
      </c>
      <c r="R46" t="str">
        <f t="shared" si="4"/>
        <v>television</v>
      </c>
      <c r="S46" s="9">
        <f t="shared" si="2"/>
        <v>41873.890474537031</v>
      </c>
      <c r="T46" s="9">
        <f t="shared" si="5"/>
        <v>41918.890474537031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5500</v>
      </c>
      <c r="Q47" t="str">
        <f t="shared" si="3"/>
        <v>film &amp; video</v>
      </c>
      <c r="R47" t="str">
        <f t="shared" si="4"/>
        <v>television</v>
      </c>
      <c r="S47" s="9">
        <f t="shared" si="2"/>
        <v>42457.415590277778</v>
      </c>
      <c r="T47" s="9">
        <f t="shared" si="5"/>
        <v>42487.415590277778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8575</v>
      </c>
      <c r="Q48" t="str">
        <f t="shared" si="3"/>
        <v>film &amp; video</v>
      </c>
      <c r="R48" t="str">
        <f t="shared" si="4"/>
        <v>television</v>
      </c>
      <c r="S48" s="9">
        <f t="shared" si="2"/>
        <v>42323.756643518514</v>
      </c>
      <c r="T48" s="9">
        <f t="shared" si="5"/>
        <v>42353.756643518514</v>
      </c>
    </row>
    <row r="49" spans="1:20" ht="43.5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5190.2749999999996</v>
      </c>
      <c r="Q49" t="str">
        <f t="shared" si="3"/>
        <v>film &amp; video</v>
      </c>
      <c r="R49" t="str">
        <f t="shared" si="4"/>
        <v>television</v>
      </c>
      <c r="S49" s="9">
        <f t="shared" si="2"/>
        <v>41932.611192129625</v>
      </c>
      <c r="T49" s="9">
        <f t="shared" si="5"/>
        <v>41992.652858796289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2079.5</v>
      </c>
      <c r="Q50" t="str">
        <f t="shared" si="3"/>
        <v>film &amp; video</v>
      </c>
      <c r="R50" t="str">
        <f t="shared" si="4"/>
        <v>television</v>
      </c>
      <c r="S50" s="9">
        <f t="shared" si="2"/>
        <v>42033.308564814812</v>
      </c>
      <c r="T50" s="9">
        <f t="shared" si="5"/>
        <v>42064.291666666664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12000</v>
      </c>
      <c r="Q51" t="str">
        <f t="shared" si="3"/>
        <v>film &amp; video</v>
      </c>
      <c r="R51" t="str">
        <f t="shared" si="4"/>
        <v>television</v>
      </c>
      <c r="S51" s="9">
        <f t="shared" si="2"/>
        <v>42270.968113425923</v>
      </c>
      <c r="T51" s="9">
        <f t="shared" si="5"/>
        <v>42300.968113425923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600</v>
      </c>
      <c r="Q52" t="str">
        <f t="shared" si="3"/>
        <v>film &amp; video</v>
      </c>
      <c r="R52" t="str">
        <f t="shared" si="4"/>
        <v>television</v>
      </c>
      <c r="S52" s="9">
        <f t="shared" si="2"/>
        <v>41995.544652777775</v>
      </c>
      <c r="T52" s="9">
        <f t="shared" si="5"/>
        <v>42034.499999999993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12541</v>
      </c>
      <c r="Q53" t="str">
        <f t="shared" si="3"/>
        <v>film &amp; video</v>
      </c>
      <c r="R53" t="str">
        <f t="shared" si="4"/>
        <v>television</v>
      </c>
      <c r="S53" s="9">
        <f t="shared" si="2"/>
        <v>42196.72033564814</v>
      </c>
      <c r="T53" s="9">
        <f t="shared" si="5"/>
        <v>42226.72033564814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10810.5</v>
      </c>
      <c r="Q54" t="str">
        <f t="shared" si="3"/>
        <v>film &amp; video</v>
      </c>
      <c r="R54" t="str">
        <f t="shared" si="4"/>
        <v>television</v>
      </c>
      <c r="S54" s="9">
        <f t="shared" si="2"/>
        <v>41807.493587962963</v>
      </c>
      <c r="T54" s="9">
        <f t="shared" si="5"/>
        <v>41837.493587962963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3144.5</v>
      </c>
      <c r="Q55" t="str">
        <f t="shared" si="3"/>
        <v>film &amp; video</v>
      </c>
      <c r="R55" t="str">
        <f t="shared" si="4"/>
        <v>television</v>
      </c>
      <c r="S55" s="9">
        <f t="shared" si="2"/>
        <v>41719.340798611105</v>
      </c>
      <c r="T55" s="9">
        <f t="shared" si="5"/>
        <v>41733.708333333328</v>
      </c>
    </row>
    <row r="56" spans="1:20" ht="43.5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10050</v>
      </c>
      <c r="Q56" t="str">
        <f t="shared" si="3"/>
        <v>film &amp; video</v>
      </c>
      <c r="R56" t="str">
        <f t="shared" si="4"/>
        <v>television</v>
      </c>
      <c r="S56" s="9">
        <f t="shared" si="2"/>
        <v>42333.504872685182</v>
      </c>
      <c r="T56" s="9">
        <f t="shared" si="5"/>
        <v>42363.504872685182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9845</v>
      </c>
      <c r="Q57" t="str">
        <f t="shared" si="3"/>
        <v>film &amp; video</v>
      </c>
      <c r="R57" t="str">
        <f t="shared" si="4"/>
        <v>television</v>
      </c>
      <c r="S57" s="9">
        <f t="shared" si="2"/>
        <v>42496.760601851849</v>
      </c>
      <c r="T57" s="9">
        <f t="shared" si="5"/>
        <v>42517.760601851849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8290.5</v>
      </c>
      <c r="Q58" t="str">
        <f t="shared" si="3"/>
        <v>film &amp; video</v>
      </c>
      <c r="R58" t="str">
        <f t="shared" si="4"/>
        <v>television</v>
      </c>
      <c r="S58" s="9">
        <f t="shared" si="2"/>
        <v>42149.340555555558</v>
      </c>
      <c r="T58" s="9">
        <f t="shared" si="5"/>
        <v>42163.458333333336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15142.5</v>
      </c>
      <c r="Q59" t="str">
        <f t="shared" si="3"/>
        <v>film &amp; video</v>
      </c>
      <c r="R59" t="str">
        <f t="shared" si="4"/>
        <v>television</v>
      </c>
      <c r="S59" s="9">
        <f t="shared" si="2"/>
        <v>42089.624560185184</v>
      </c>
      <c r="T59" s="9">
        <f t="shared" si="5"/>
        <v>42119.624560185184</v>
      </c>
    </row>
    <row r="60" spans="1:20" ht="29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10145.5</v>
      </c>
      <c r="Q60" t="str">
        <f t="shared" si="3"/>
        <v>film &amp; video</v>
      </c>
      <c r="R60" t="str">
        <f t="shared" si="4"/>
        <v>television</v>
      </c>
      <c r="S60" s="9">
        <f t="shared" si="2"/>
        <v>41932.536712962959</v>
      </c>
      <c r="T60" s="9">
        <f t="shared" si="5"/>
        <v>41962.578379629624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20012.57</v>
      </c>
      <c r="Q61" t="str">
        <f t="shared" si="3"/>
        <v>film &amp; video</v>
      </c>
      <c r="R61" t="str">
        <f t="shared" si="4"/>
        <v>television</v>
      </c>
      <c r="S61" s="9">
        <f t="shared" si="2"/>
        <v>42230.027499999997</v>
      </c>
      <c r="T61" s="9">
        <f t="shared" si="5"/>
        <v>42261.666666666664</v>
      </c>
    </row>
    <row r="62" spans="1:20" ht="29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4574.165</v>
      </c>
      <c r="Q62" t="str">
        <f>IF(N62="film &amp; video/shorts","film &amp; video")</f>
        <v>film &amp; video</v>
      </c>
      <c r="R62" t="str">
        <f>IF(N62="film &amp; video/shorts","shorts")</f>
        <v>shorts</v>
      </c>
      <c r="S62" s="9">
        <f t="shared" si="2"/>
        <v>41701.693483796298</v>
      </c>
      <c r="T62" s="9">
        <f t="shared" si="5"/>
        <v>41720.791666666664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6207.5</v>
      </c>
      <c r="Q63" t="str">
        <f>IF(N63="film &amp; video/shorts","film &amp; video")</f>
        <v>film &amp; video</v>
      </c>
      <c r="R63" t="str">
        <f>IF(N63="film &amp; video/shorts","shorts")</f>
        <v>shorts</v>
      </c>
      <c r="S63" s="9">
        <f t="shared" si="2"/>
        <v>41409.605983796289</v>
      </c>
      <c r="T63" s="9">
        <f t="shared" si="5"/>
        <v>41431.605983796289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3821</v>
      </c>
      <c r="Q64" t="str">
        <f t="shared" ref="Q64:Q121" si="6">IF(N64="film &amp; video/shorts","film &amp; video")</f>
        <v>film &amp; video</v>
      </c>
      <c r="R64" t="str">
        <f t="shared" ref="R64:R121" si="7">IF(N64="film &amp; video/shorts","shorts")</f>
        <v>shorts</v>
      </c>
      <c r="S64" s="9">
        <f t="shared" si="2"/>
        <v>41311.591180555552</v>
      </c>
      <c r="T64" s="9">
        <f t="shared" si="5"/>
        <v>41336.591180555552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2135.1849999999999</v>
      </c>
      <c r="Q65" t="str">
        <f t="shared" si="6"/>
        <v>film &amp; video</v>
      </c>
      <c r="R65" t="str">
        <f t="shared" si="7"/>
        <v>shorts</v>
      </c>
      <c r="S65" s="9">
        <f t="shared" si="2"/>
        <v>41612.703854166662</v>
      </c>
      <c r="T65" s="9">
        <f t="shared" si="5"/>
        <v>41635.999305555553</v>
      </c>
    </row>
    <row r="66" spans="1:20" ht="43.5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1640</v>
      </c>
      <c r="Q66" t="str">
        <f t="shared" si="6"/>
        <v>film &amp; video</v>
      </c>
      <c r="R66" t="str">
        <f t="shared" si="7"/>
        <v>shorts</v>
      </c>
      <c r="S66" s="9">
        <f t="shared" si="2"/>
        <v>41432.809965277775</v>
      </c>
      <c r="T66" s="9">
        <f t="shared" si="5"/>
        <v>41462.809965277775</v>
      </c>
    </row>
    <row r="67" spans="1:20" ht="29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8">E67/D67</f>
        <v>1.0752857142857142</v>
      </c>
      <c r="P67">
        <f t="shared" ref="P67:P130" si="9">AVERAGE(D67:E67)</f>
        <v>7263.5</v>
      </c>
      <c r="Q67" t="str">
        <f t="shared" si="6"/>
        <v>film &amp; video</v>
      </c>
      <c r="R67" t="str">
        <f t="shared" si="7"/>
        <v>shorts</v>
      </c>
      <c r="S67" s="9">
        <f t="shared" ref="S67:S130" si="10">J67/86400+25569+(-5/24)</f>
        <v>41835.612893518519</v>
      </c>
      <c r="T67" s="9">
        <f t="shared" si="5"/>
        <v>41862.040972222218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8"/>
        <v>1.1859999999999999</v>
      </c>
      <c r="P68">
        <f t="shared" si="9"/>
        <v>2186</v>
      </c>
      <c r="Q68" t="str">
        <f t="shared" si="6"/>
        <v>film &amp; video</v>
      </c>
      <c r="R68" t="str">
        <f t="shared" si="7"/>
        <v>shorts</v>
      </c>
      <c r="S68" s="9">
        <f t="shared" si="10"/>
        <v>42539.641435185178</v>
      </c>
      <c r="T68" s="9">
        <f t="shared" ref="T68:T131" si="11">I68/86400+25569+(-5/24)</f>
        <v>42569.641435185178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8"/>
        <v>1.1625000000000001</v>
      </c>
      <c r="P69">
        <f t="shared" si="9"/>
        <v>2162.5</v>
      </c>
      <c r="Q69" t="str">
        <f t="shared" si="6"/>
        <v>film &amp; video</v>
      </c>
      <c r="R69" t="str">
        <f t="shared" si="7"/>
        <v>shorts</v>
      </c>
      <c r="S69" s="9">
        <f t="shared" si="10"/>
        <v>41075.375046296293</v>
      </c>
      <c r="T69" s="9">
        <f t="shared" si="11"/>
        <v>41105.375046296293</v>
      </c>
    </row>
    <row r="70" spans="1:20" ht="43.5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8"/>
        <v>1.2716666666666667</v>
      </c>
      <c r="P70">
        <f t="shared" si="9"/>
        <v>681.5</v>
      </c>
      <c r="Q70" t="str">
        <f t="shared" si="6"/>
        <v>film &amp; video</v>
      </c>
      <c r="R70" t="str">
        <f t="shared" si="7"/>
        <v>shorts</v>
      </c>
      <c r="S70" s="9">
        <f t="shared" si="10"/>
        <v>41663.36100694444</v>
      </c>
      <c r="T70" s="9">
        <f t="shared" si="11"/>
        <v>41693.36100694444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8"/>
        <v>1.109423</v>
      </c>
      <c r="P71">
        <f t="shared" si="9"/>
        <v>10547.115</v>
      </c>
      <c r="Q71" t="str">
        <f t="shared" si="6"/>
        <v>film &amp; video</v>
      </c>
      <c r="R71" t="str">
        <f t="shared" si="7"/>
        <v>shorts</v>
      </c>
      <c r="S71" s="9">
        <f t="shared" si="10"/>
        <v>40785.979456018518</v>
      </c>
      <c r="T71" s="9">
        <f t="shared" si="11"/>
        <v>40818.082638888889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8"/>
        <v>1.272</v>
      </c>
      <c r="P72">
        <f t="shared" si="9"/>
        <v>568</v>
      </c>
      <c r="Q72" t="str">
        <f t="shared" si="6"/>
        <v>film &amp; video</v>
      </c>
      <c r="R72" t="str">
        <f t="shared" si="7"/>
        <v>shorts</v>
      </c>
      <c r="S72" s="9">
        <f t="shared" si="10"/>
        <v>40730.688020833331</v>
      </c>
      <c r="T72" s="9">
        <f t="shared" si="11"/>
        <v>40790.688020833331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8"/>
        <v>1.2394444444444443</v>
      </c>
      <c r="P73">
        <f t="shared" si="9"/>
        <v>2015.5</v>
      </c>
      <c r="Q73" t="str">
        <f t="shared" si="6"/>
        <v>film &amp; video</v>
      </c>
      <c r="R73" t="str">
        <f t="shared" si="7"/>
        <v>shorts</v>
      </c>
      <c r="S73" s="9">
        <f t="shared" si="10"/>
        <v>40997.063159722216</v>
      </c>
      <c r="T73" s="9">
        <f t="shared" si="11"/>
        <v>41057.063159722216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8"/>
        <v>1.084090909090909</v>
      </c>
      <c r="P74">
        <f t="shared" si="9"/>
        <v>2292.5</v>
      </c>
      <c r="Q74" t="str">
        <f t="shared" si="6"/>
        <v>film &amp; video</v>
      </c>
      <c r="R74" t="str">
        <f t="shared" si="7"/>
        <v>shorts</v>
      </c>
      <c r="S74" s="9">
        <f t="shared" si="10"/>
        <v>41207.801863425928</v>
      </c>
      <c r="T74" s="9">
        <f t="shared" si="11"/>
        <v>41227.791666666664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8"/>
        <v>1</v>
      </c>
      <c r="P75">
        <f t="shared" si="9"/>
        <v>900</v>
      </c>
      <c r="Q75" t="str">
        <f t="shared" si="6"/>
        <v>film &amp; video</v>
      </c>
      <c r="R75" t="str">
        <f t="shared" si="7"/>
        <v>shorts</v>
      </c>
      <c r="S75" s="9">
        <f t="shared" si="10"/>
        <v>40587.548425925925</v>
      </c>
      <c r="T75" s="9">
        <f t="shared" si="11"/>
        <v>40665.957638888889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8"/>
        <v>1.1293199999999999</v>
      </c>
      <c r="P76">
        <f t="shared" si="9"/>
        <v>532.32999999999993</v>
      </c>
      <c r="Q76" t="str">
        <f t="shared" si="6"/>
        <v>film &amp; video</v>
      </c>
      <c r="R76" t="str">
        <f t="shared" si="7"/>
        <v>shorts</v>
      </c>
      <c r="S76" s="9">
        <f t="shared" si="10"/>
        <v>42360.278877314813</v>
      </c>
      <c r="T76" s="9">
        <f t="shared" si="11"/>
        <v>42390.278877314813</v>
      </c>
    </row>
    <row r="77" spans="1:20" ht="29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8"/>
        <v>1.1542857142857144</v>
      </c>
      <c r="P77">
        <f t="shared" si="9"/>
        <v>3770</v>
      </c>
      <c r="Q77" t="str">
        <f t="shared" si="6"/>
        <v>film &amp; video</v>
      </c>
      <c r="R77" t="str">
        <f t="shared" si="7"/>
        <v>shorts</v>
      </c>
      <c r="S77" s="9">
        <f t="shared" si="10"/>
        <v>41357.000833333332</v>
      </c>
      <c r="T77" s="9">
        <f t="shared" si="11"/>
        <v>41387.000833333332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8"/>
        <v>1.5333333333333334</v>
      </c>
      <c r="P78">
        <f t="shared" si="9"/>
        <v>380</v>
      </c>
      <c r="Q78" t="str">
        <f t="shared" si="6"/>
        <v>film &amp; video</v>
      </c>
      <c r="R78" t="str">
        <f t="shared" si="7"/>
        <v>shorts</v>
      </c>
      <c r="S78" s="9">
        <f t="shared" si="10"/>
        <v>40844.483310185184</v>
      </c>
      <c r="T78" s="9">
        <f t="shared" si="11"/>
        <v>40904.524976851848</v>
      </c>
    </row>
    <row r="79" spans="1:20" ht="29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8"/>
        <v>3.9249999999999998</v>
      </c>
      <c r="P79">
        <f t="shared" si="9"/>
        <v>985</v>
      </c>
      <c r="Q79" t="str">
        <f t="shared" si="6"/>
        <v>film &amp; video</v>
      </c>
      <c r="R79" t="str">
        <f t="shared" si="7"/>
        <v>shorts</v>
      </c>
      <c r="S79" s="9">
        <f t="shared" si="10"/>
        <v>40996.936539351846</v>
      </c>
      <c r="T79" s="9">
        <f t="shared" si="11"/>
        <v>41049.915972222218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8"/>
        <v>27.02</v>
      </c>
      <c r="P80">
        <f t="shared" si="9"/>
        <v>700.5</v>
      </c>
      <c r="Q80" t="str">
        <f t="shared" si="6"/>
        <v>film &amp; video</v>
      </c>
      <c r="R80" t="str">
        <f t="shared" si="7"/>
        <v>shorts</v>
      </c>
      <c r="S80" s="9">
        <f t="shared" si="10"/>
        <v>42604.522233796299</v>
      </c>
      <c r="T80" s="9">
        <f t="shared" si="11"/>
        <v>42614.522233796299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8"/>
        <v>1.27</v>
      </c>
      <c r="P81">
        <f t="shared" si="9"/>
        <v>1475.5</v>
      </c>
      <c r="Q81" t="str">
        <f t="shared" si="6"/>
        <v>film &amp; video</v>
      </c>
      <c r="R81" t="str">
        <f t="shared" si="7"/>
        <v>shorts</v>
      </c>
      <c r="S81" s="9">
        <f t="shared" si="10"/>
        <v>41724.568206018514</v>
      </c>
      <c r="T81" s="9">
        <f t="shared" si="11"/>
        <v>41754.568206018514</v>
      </c>
    </row>
    <row r="82" spans="1:20" ht="29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8"/>
        <v>1.0725</v>
      </c>
      <c r="P82">
        <f t="shared" si="9"/>
        <v>12435</v>
      </c>
      <c r="Q82" t="str">
        <f t="shared" si="6"/>
        <v>film &amp; video</v>
      </c>
      <c r="R82" t="str">
        <f t="shared" si="7"/>
        <v>shorts</v>
      </c>
      <c r="S82" s="9">
        <f t="shared" si="10"/>
        <v>41582.875648148147</v>
      </c>
      <c r="T82" s="9">
        <f t="shared" si="11"/>
        <v>41617.875648148147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8"/>
        <v>1.98</v>
      </c>
      <c r="P83">
        <f t="shared" si="9"/>
        <v>1117.5</v>
      </c>
      <c r="Q83" t="str">
        <f t="shared" si="6"/>
        <v>film &amp; video</v>
      </c>
      <c r="R83" t="str">
        <f t="shared" si="7"/>
        <v>shorts</v>
      </c>
      <c r="S83" s="9">
        <f t="shared" si="10"/>
        <v>41099.950543981475</v>
      </c>
      <c r="T83" s="9">
        <f t="shared" si="11"/>
        <v>41103.918055555558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8"/>
        <v>1.0001249999999999</v>
      </c>
      <c r="P84">
        <f t="shared" si="9"/>
        <v>4000.25</v>
      </c>
      <c r="Q84" t="str">
        <f t="shared" si="6"/>
        <v>film &amp; video</v>
      </c>
      <c r="R84" t="str">
        <f t="shared" si="7"/>
        <v>shorts</v>
      </c>
      <c r="S84" s="9">
        <f t="shared" si="10"/>
        <v>40795.611817129626</v>
      </c>
      <c r="T84" s="9">
        <f t="shared" si="11"/>
        <v>40825.611817129626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8"/>
        <v>1.0249999999999999</v>
      </c>
      <c r="P85">
        <f t="shared" si="9"/>
        <v>202.5</v>
      </c>
      <c r="Q85" t="str">
        <f t="shared" si="6"/>
        <v>film &amp; video</v>
      </c>
      <c r="R85" t="str">
        <f t="shared" si="7"/>
        <v>shorts</v>
      </c>
      <c r="S85" s="9">
        <f t="shared" si="10"/>
        <v>42042.407280092586</v>
      </c>
      <c r="T85" s="9">
        <f t="shared" si="11"/>
        <v>42057.270833333336</v>
      </c>
    </row>
    <row r="86" spans="1:20" ht="29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8"/>
        <v>1</v>
      </c>
      <c r="P86">
        <f t="shared" si="9"/>
        <v>500</v>
      </c>
      <c r="Q86" t="str">
        <f t="shared" si="6"/>
        <v>film &amp; video</v>
      </c>
      <c r="R86" t="str">
        <f t="shared" si="7"/>
        <v>shorts</v>
      </c>
      <c r="S86" s="9">
        <f t="shared" si="10"/>
        <v>40648.54960648148</v>
      </c>
      <c r="T86" s="9">
        <f t="shared" si="11"/>
        <v>40678.54960648148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8"/>
        <v>1.2549999999999999</v>
      </c>
      <c r="P87">
        <f t="shared" si="9"/>
        <v>1353</v>
      </c>
      <c r="Q87" t="str">
        <f t="shared" si="6"/>
        <v>film &amp; video</v>
      </c>
      <c r="R87" t="str">
        <f t="shared" si="7"/>
        <v>shorts</v>
      </c>
      <c r="S87" s="9">
        <f t="shared" si="10"/>
        <v>40778.917094907403</v>
      </c>
      <c r="T87" s="9">
        <f t="shared" si="11"/>
        <v>40808.917094907403</v>
      </c>
    </row>
    <row r="88" spans="1:20" ht="43.5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8"/>
        <v>1.0646666666666667</v>
      </c>
      <c r="P88">
        <f t="shared" si="9"/>
        <v>6194</v>
      </c>
      <c r="Q88" t="str">
        <f t="shared" si="6"/>
        <v>film &amp; video</v>
      </c>
      <c r="R88" t="str">
        <f t="shared" si="7"/>
        <v>shorts</v>
      </c>
      <c r="S88" s="9">
        <f t="shared" si="10"/>
        <v>42291.347743055558</v>
      </c>
      <c r="T88" s="9">
        <f t="shared" si="11"/>
        <v>42365.389409722215</v>
      </c>
    </row>
    <row r="89" spans="1:20" ht="29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8"/>
        <v>1.046</v>
      </c>
      <c r="P89">
        <f t="shared" si="9"/>
        <v>2557.5</v>
      </c>
      <c r="Q89" t="str">
        <f t="shared" si="6"/>
        <v>film &amp; video</v>
      </c>
      <c r="R89" t="str">
        <f t="shared" si="7"/>
        <v>shorts</v>
      </c>
      <c r="S89" s="9">
        <f t="shared" si="10"/>
        <v>40322.331053240741</v>
      </c>
      <c r="T89" s="9">
        <f t="shared" si="11"/>
        <v>40331.861805555549</v>
      </c>
    </row>
    <row r="90" spans="1:20" ht="43.5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8"/>
        <v>1.0285714285714285</v>
      </c>
      <c r="P90">
        <f t="shared" si="9"/>
        <v>3550</v>
      </c>
      <c r="Q90" t="str">
        <f t="shared" si="6"/>
        <v>film &amp; video</v>
      </c>
      <c r="R90" t="str">
        <f t="shared" si="7"/>
        <v>shorts</v>
      </c>
      <c r="S90" s="9">
        <f t="shared" si="10"/>
        <v>41786.450590277775</v>
      </c>
      <c r="T90" s="9">
        <f t="shared" si="11"/>
        <v>41812.450590277775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8"/>
        <v>1.1506666666666667</v>
      </c>
      <c r="P91">
        <f t="shared" si="9"/>
        <v>6452</v>
      </c>
      <c r="Q91" t="str">
        <f t="shared" si="6"/>
        <v>film &amp; video</v>
      </c>
      <c r="R91" t="str">
        <f t="shared" si="7"/>
        <v>shorts</v>
      </c>
      <c r="S91" s="9">
        <f t="shared" si="10"/>
        <v>41402.543888888882</v>
      </c>
      <c r="T91" s="9">
        <f t="shared" si="11"/>
        <v>41427.543888888882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8"/>
        <v>1.004</v>
      </c>
      <c r="P92">
        <f t="shared" si="9"/>
        <v>501</v>
      </c>
      <c r="Q92" t="str">
        <f t="shared" si="6"/>
        <v>film &amp; video</v>
      </c>
      <c r="R92" t="str">
        <f t="shared" si="7"/>
        <v>shorts</v>
      </c>
      <c r="S92" s="9">
        <f t="shared" si="10"/>
        <v>40706.089108796295</v>
      </c>
      <c r="T92" s="9">
        <f t="shared" si="11"/>
        <v>40736.089108796295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8"/>
        <v>1.2</v>
      </c>
      <c r="P93">
        <f t="shared" si="9"/>
        <v>3300</v>
      </c>
      <c r="Q93" t="str">
        <f t="shared" si="6"/>
        <v>film &amp; video</v>
      </c>
      <c r="R93" t="str">
        <f t="shared" si="7"/>
        <v>shorts</v>
      </c>
      <c r="S93" s="9">
        <f t="shared" si="10"/>
        <v>40619.194027777776</v>
      </c>
      <c r="T93" s="9">
        <f t="shared" si="11"/>
        <v>40680.194027777776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8"/>
        <v>1.052</v>
      </c>
      <c r="P94">
        <f t="shared" si="9"/>
        <v>5130</v>
      </c>
      <c r="Q94" t="str">
        <f t="shared" si="6"/>
        <v>film &amp; video</v>
      </c>
      <c r="R94" t="str">
        <f t="shared" si="7"/>
        <v>shorts</v>
      </c>
      <c r="S94" s="9">
        <f t="shared" si="10"/>
        <v>42720.990543981483</v>
      </c>
      <c r="T94" s="9">
        <f t="shared" si="11"/>
        <v>42767.124999999993</v>
      </c>
    </row>
    <row r="95" spans="1:20" ht="43.5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8"/>
        <v>1.1060000000000001</v>
      </c>
      <c r="P95">
        <f t="shared" si="9"/>
        <v>1053</v>
      </c>
      <c r="Q95" t="str">
        <f t="shared" si="6"/>
        <v>film &amp; video</v>
      </c>
      <c r="R95" t="str">
        <f t="shared" si="7"/>
        <v>shorts</v>
      </c>
      <c r="S95" s="9">
        <f t="shared" si="10"/>
        <v>41065.649733796294</v>
      </c>
      <c r="T95" s="9">
        <f t="shared" si="11"/>
        <v>41093.666666666664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8"/>
        <v>1.04</v>
      </c>
      <c r="P96">
        <f t="shared" si="9"/>
        <v>255</v>
      </c>
      <c r="Q96" t="str">
        <f t="shared" si="6"/>
        <v>film &amp; video</v>
      </c>
      <c r="R96" t="str">
        <f t="shared" si="7"/>
        <v>shorts</v>
      </c>
      <c r="S96" s="9">
        <f t="shared" si="10"/>
        <v>41716.509513888886</v>
      </c>
      <c r="T96" s="9">
        <f t="shared" si="11"/>
        <v>41736.509513888886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8"/>
        <v>1.3142857142857143</v>
      </c>
      <c r="P97">
        <f t="shared" si="9"/>
        <v>405</v>
      </c>
      <c r="Q97" t="str">
        <f t="shared" si="6"/>
        <v>film &amp; video</v>
      </c>
      <c r="R97" t="str">
        <f t="shared" si="7"/>
        <v>shorts</v>
      </c>
      <c r="S97" s="9">
        <f t="shared" si="10"/>
        <v>40934.796770833331</v>
      </c>
      <c r="T97" s="9">
        <f t="shared" si="11"/>
        <v>40964.796770833331</v>
      </c>
    </row>
    <row r="98" spans="1:20" ht="43.5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8"/>
        <v>1.1466666666666667</v>
      </c>
      <c r="P98">
        <f t="shared" si="9"/>
        <v>1610</v>
      </c>
      <c r="Q98" t="str">
        <f t="shared" si="6"/>
        <v>film &amp; video</v>
      </c>
      <c r="R98" t="str">
        <f t="shared" si="7"/>
        <v>shorts</v>
      </c>
      <c r="S98" s="9">
        <f t="shared" si="10"/>
        <v>40324.45417824074</v>
      </c>
      <c r="T98" s="9">
        <f t="shared" si="11"/>
        <v>40390.916666666664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8"/>
        <v>1.0625</v>
      </c>
      <c r="P99">
        <f t="shared" si="9"/>
        <v>412.5</v>
      </c>
      <c r="Q99" t="str">
        <f t="shared" si="6"/>
        <v>film &amp; video</v>
      </c>
      <c r="R99" t="str">
        <f t="shared" si="7"/>
        <v>shorts</v>
      </c>
      <c r="S99" s="9">
        <f t="shared" si="10"/>
        <v>40705.926874999997</v>
      </c>
      <c r="T99" s="9">
        <f t="shared" si="11"/>
        <v>40735.926874999997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8"/>
        <v>1.0625</v>
      </c>
      <c r="P100">
        <f t="shared" si="9"/>
        <v>3300</v>
      </c>
      <c r="Q100" t="str">
        <f t="shared" si="6"/>
        <v>film &amp; video</v>
      </c>
      <c r="R100" t="str">
        <f t="shared" si="7"/>
        <v>shorts</v>
      </c>
      <c r="S100" s="9">
        <f t="shared" si="10"/>
        <v>41214.586504629631</v>
      </c>
      <c r="T100" s="9">
        <f t="shared" si="11"/>
        <v>41250.770833333328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8"/>
        <v>1.0601933333333333</v>
      </c>
      <c r="P101">
        <f t="shared" si="9"/>
        <v>1545.145</v>
      </c>
      <c r="Q101" t="str">
        <f t="shared" si="6"/>
        <v>film &amp; video</v>
      </c>
      <c r="R101" t="str">
        <f t="shared" si="7"/>
        <v>shorts</v>
      </c>
      <c r="S101" s="9">
        <f t="shared" si="10"/>
        <v>41631.694432870368</v>
      </c>
      <c r="T101" s="9">
        <f t="shared" si="11"/>
        <v>41661.694432870368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8"/>
        <v>1</v>
      </c>
      <c r="P102">
        <f t="shared" si="9"/>
        <v>5000</v>
      </c>
      <c r="Q102" t="str">
        <f t="shared" si="6"/>
        <v>film &amp; video</v>
      </c>
      <c r="R102" t="str">
        <f t="shared" si="7"/>
        <v>shorts</v>
      </c>
      <c r="S102" s="9">
        <f t="shared" si="10"/>
        <v>41197.544976851852</v>
      </c>
      <c r="T102" s="9">
        <f t="shared" si="11"/>
        <v>41217.586643518516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8"/>
        <v>1</v>
      </c>
      <c r="P103">
        <f t="shared" si="9"/>
        <v>3500</v>
      </c>
      <c r="Q103" t="str">
        <f t="shared" si="6"/>
        <v>film &amp; video</v>
      </c>
      <c r="R103" t="str">
        <f t="shared" si="7"/>
        <v>shorts</v>
      </c>
      <c r="S103" s="9">
        <f t="shared" si="10"/>
        <v>41274.568402777775</v>
      </c>
      <c r="T103" s="9">
        <f t="shared" si="11"/>
        <v>41298.568402777775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8"/>
        <v>1.2775000000000001</v>
      </c>
      <c r="P104">
        <f t="shared" si="9"/>
        <v>6832.5</v>
      </c>
      <c r="Q104" t="str">
        <f t="shared" si="6"/>
        <v>film &amp; video</v>
      </c>
      <c r="R104" t="str">
        <f t="shared" si="7"/>
        <v>shorts</v>
      </c>
      <c r="S104" s="9">
        <f t="shared" si="10"/>
        <v>40504.922835648147</v>
      </c>
      <c r="T104" s="9">
        <f t="shared" si="11"/>
        <v>40534.922835648147</v>
      </c>
    </row>
    <row r="105" spans="1:20" ht="29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8"/>
        <v>1.0515384615384615</v>
      </c>
      <c r="P105">
        <f t="shared" si="9"/>
        <v>1333.5</v>
      </c>
      <c r="Q105" t="str">
        <f t="shared" si="6"/>
        <v>film &amp; video</v>
      </c>
      <c r="R105" t="str">
        <f t="shared" si="7"/>
        <v>shorts</v>
      </c>
      <c r="S105" s="9">
        <f t="shared" si="10"/>
        <v>41682.597569444442</v>
      </c>
      <c r="T105" s="9">
        <f t="shared" si="11"/>
        <v>41705.597569444442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8"/>
        <v>1.2</v>
      </c>
      <c r="P106">
        <f t="shared" si="9"/>
        <v>550</v>
      </c>
      <c r="Q106" t="str">
        <f t="shared" si="6"/>
        <v>film &amp; video</v>
      </c>
      <c r="R106" t="str">
        <f t="shared" si="7"/>
        <v>shorts</v>
      </c>
      <c r="S106" s="9">
        <f t="shared" si="10"/>
        <v>40612.486874999995</v>
      </c>
      <c r="T106" s="9">
        <f t="shared" si="11"/>
        <v>40635.833333333328</v>
      </c>
    </row>
    <row r="107" spans="1:20" ht="29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8"/>
        <v>1.074090909090909</v>
      </c>
      <c r="P107">
        <f t="shared" si="9"/>
        <v>2281.5</v>
      </c>
      <c r="Q107" t="str">
        <f t="shared" si="6"/>
        <v>film &amp; video</v>
      </c>
      <c r="R107" t="str">
        <f t="shared" si="7"/>
        <v>shorts</v>
      </c>
      <c r="S107" s="9">
        <f t="shared" si="10"/>
        <v>42485.516435185178</v>
      </c>
      <c r="T107" s="9">
        <f t="shared" si="11"/>
        <v>42503.791666666664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8"/>
        <v>1.0049999999999999</v>
      </c>
      <c r="P108">
        <f t="shared" si="9"/>
        <v>5012.5</v>
      </c>
      <c r="Q108" t="str">
        <f t="shared" si="6"/>
        <v>film &amp; video</v>
      </c>
      <c r="R108" t="str">
        <f t="shared" si="7"/>
        <v>shorts</v>
      </c>
      <c r="S108" s="9">
        <f t="shared" si="10"/>
        <v>40987.568298611106</v>
      </c>
      <c r="T108" s="9">
        <f t="shared" si="11"/>
        <v>41001.568298611106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8"/>
        <v>1.0246666666666666</v>
      </c>
      <c r="P109">
        <f t="shared" si="9"/>
        <v>7592.5</v>
      </c>
      <c r="Q109" t="str">
        <f t="shared" si="6"/>
        <v>film &amp; video</v>
      </c>
      <c r="R109" t="str">
        <f t="shared" si="7"/>
        <v>shorts</v>
      </c>
      <c r="S109" s="9">
        <f t="shared" si="10"/>
        <v>40635.774155092593</v>
      </c>
      <c r="T109" s="9">
        <f t="shared" si="11"/>
        <v>40657.774155092593</v>
      </c>
    </row>
    <row r="110" spans="1:20" ht="29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8"/>
        <v>2.4666666666666668</v>
      </c>
      <c r="P110">
        <f t="shared" si="9"/>
        <v>2600</v>
      </c>
      <c r="Q110" t="str">
        <f t="shared" si="6"/>
        <v>film &amp; video</v>
      </c>
      <c r="R110" t="str">
        <f t="shared" si="7"/>
        <v>shorts</v>
      </c>
      <c r="S110" s="9">
        <f t="shared" si="10"/>
        <v>41365.404745370368</v>
      </c>
      <c r="T110" s="9">
        <f t="shared" si="11"/>
        <v>41425.404745370368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8"/>
        <v>2.1949999999999998</v>
      </c>
      <c r="P111">
        <f t="shared" si="9"/>
        <v>1597.5</v>
      </c>
      <c r="Q111" t="str">
        <f t="shared" si="6"/>
        <v>film &amp; video</v>
      </c>
      <c r="R111" t="str">
        <f t="shared" si="7"/>
        <v>shorts</v>
      </c>
      <c r="S111" s="9">
        <f t="shared" si="10"/>
        <v>40569.817476851851</v>
      </c>
      <c r="T111" s="9">
        <f t="shared" si="11"/>
        <v>40599.817476851851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8"/>
        <v>1.3076923076923077</v>
      </c>
      <c r="P112">
        <f t="shared" si="9"/>
        <v>1500</v>
      </c>
      <c r="Q112" t="str">
        <f t="shared" si="6"/>
        <v>film &amp; video</v>
      </c>
      <c r="R112" t="str">
        <f t="shared" si="7"/>
        <v>shorts</v>
      </c>
      <c r="S112" s="9">
        <f t="shared" si="10"/>
        <v>41557.741354166668</v>
      </c>
      <c r="T112" s="9">
        <f t="shared" si="11"/>
        <v>41592.040972222218</v>
      </c>
    </row>
    <row r="113" spans="1:20" ht="29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8"/>
        <v>1.5457142857142858</v>
      </c>
      <c r="P113">
        <f t="shared" si="9"/>
        <v>4455</v>
      </c>
      <c r="Q113" t="str">
        <f t="shared" si="6"/>
        <v>film &amp; video</v>
      </c>
      <c r="R113" t="str">
        <f t="shared" si="7"/>
        <v>shorts</v>
      </c>
      <c r="S113" s="9">
        <f t="shared" si="10"/>
        <v>42125.124849537031</v>
      </c>
      <c r="T113" s="9">
        <f t="shared" si="11"/>
        <v>42155.124849537031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8"/>
        <v>1.04</v>
      </c>
      <c r="P114">
        <f t="shared" si="9"/>
        <v>5100</v>
      </c>
      <c r="Q114" t="str">
        <f t="shared" si="6"/>
        <v>film &amp; video</v>
      </c>
      <c r="R114" t="str">
        <f t="shared" si="7"/>
        <v>shorts</v>
      </c>
      <c r="S114" s="9">
        <f t="shared" si="10"/>
        <v>41717.834699074076</v>
      </c>
      <c r="T114" s="9">
        <f t="shared" si="11"/>
        <v>41741.875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8"/>
        <v>1.41</v>
      </c>
      <c r="P115">
        <f t="shared" si="9"/>
        <v>6025</v>
      </c>
      <c r="Q115" t="str">
        <f t="shared" si="6"/>
        <v>film &amp; video</v>
      </c>
      <c r="R115" t="str">
        <f t="shared" si="7"/>
        <v>shorts</v>
      </c>
      <c r="S115" s="9">
        <f t="shared" si="10"/>
        <v>40753.550092592588</v>
      </c>
      <c r="T115" s="9">
        <f t="shared" si="11"/>
        <v>40761.416666666664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8"/>
        <v>1.0333333333333334</v>
      </c>
      <c r="P116">
        <f t="shared" si="9"/>
        <v>3050</v>
      </c>
      <c r="Q116" t="str">
        <f t="shared" si="6"/>
        <v>film &amp; video</v>
      </c>
      <c r="R116" t="str">
        <f t="shared" si="7"/>
        <v>shorts</v>
      </c>
      <c r="S116" s="9">
        <f t="shared" si="10"/>
        <v>40861.065833333334</v>
      </c>
      <c r="T116" s="9">
        <f t="shared" si="11"/>
        <v>40921.065833333334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8"/>
        <v>1.4044444444444444</v>
      </c>
      <c r="P117">
        <f t="shared" si="9"/>
        <v>541</v>
      </c>
      <c r="Q117" t="str">
        <f t="shared" si="6"/>
        <v>film &amp; video</v>
      </c>
      <c r="R117" t="str">
        <f t="shared" si="7"/>
        <v>shorts</v>
      </c>
      <c r="S117" s="9">
        <f t="shared" si="10"/>
        <v>40918.530601851853</v>
      </c>
      <c r="T117" s="9">
        <f t="shared" si="11"/>
        <v>40943.530601851853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8"/>
        <v>1.1365714285714286</v>
      </c>
      <c r="P118">
        <f t="shared" si="9"/>
        <v>3739</v>
      </c>
      <c r="Q118" t="str">
        <f t="shared" si="6"/>
        <v>film &amp; video</v>
      </c>
      <c r="R118" t="str">
        <f t="shared" si="7"/>
        <v>shorts</v>
      </c>
      <c r="S118" s="9">
        <f t="shared" si="10"/>
        <v>40595.288831018515</v>
      </c>
      <c r="T118" s="9">
        <f t="shared" si="11"/>
        <v>40641.247164351851</v>
      </c>
    </row>
    <row r="119" spans="1:20" ht="43.5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8"/>
        <v>1.0049377777777779</v>
      </c>
      <c r="P119">
        <f t="shared" si="9"/>
        <v>4511.1100000000006</v>
      </c>
      <c r="Q119" t="str">
        <f t="shared" si="6"/>
        <v>film &amp; video</v>
      </c>
      <c r="R119" t="str">
        <f t="shared" si="7"/>
        <v>shorts</v>
      </c>
      <c r="S119" s="9">
        <f t="shared" si="10"/>
        <v>40248.626666666663</v>
      </c>
      <c r="T119" s="9">
        <f t="shared" si="11"/>
        <v>40338.583333333328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8"/>
        <v>1.1303159999999999</v>
      </c>
      <c r="P120">
        <f t="shared" si="9"/>
        <v>5325.79</v>
      </c>
      <c r="Q120" t="str">
        <f t="shared" si="6"/>
        <v>film &amp; video</v>
      </c>
      <c r="R120" t="str">
        <f t="shared" si="7"/>
        <v>shorts</v>
      </c>
      <c r="S120" s="9">
        <f t="shared" si="10"/>
        <v>40722.845324074071</v>
      </c>
      <c r="T120" s="9">
        <f t="shared" si="11"/>
        <v>40752.845324074071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8"/>
        <v>1.0455692307692308</v>
      </c>
      <c r="P121">
        <f t="shared" si="9"/>
        <v>3324.05</v>
      </c>
      <c r="Q121" t="str">
        <f t="shared" si="6"/>
        <v>film &amp; video</v>
      </c>
      <c r="R121" t="str">
        <f t="shared" si="7"/>
        <v>shorts</v>
      </c>
      <c r="S121" s="9">
        <f t="shared" si="10"/>
        <v>40738.860949074071</v>
      </c>
      <c r="T121" s="9">
        <f t="shared" si="11"/>
        <v>40768.75</v>
      </c>
    </row>
    <row r="122" spans="1:20" ht="43.5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8"/>
        <v>1.4285714285714287E-4</v>
      </c>
      <c r="P122">
        <f t="shared" si="9"/>
        <v>35005</v>
      </c>
      <c r="Q122" t="str">
        <f>IF(N122="film &amp; video/science fiction","film &amp; video")</f>
        <v>film &amp; video</v>
      </c>
      <c r="R122" t="str">
        <f>IF(N122="film &amp; video/science fiction","science fiction")</f>
        <v>science fiction</v>
      </c>
      <c r="S122" s="9">
        <f t="shared" si="10"/>
        <v>42615.841516203705</v>
      </c>
      <c r="T122" s="9">
        <f t="shared" si="11"/>
        <v>42645.841516203705</v>
      </c>
    </row>
    <row r="123" spans="1:20" ht="43.5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8"/>
        <v>3.3333333333333332E-4</v>
      </c>
      <c r="P123">
        <f t="shared" si="9"/>
        <v>1500.5</v>
      </c>
      <c r="Q123" t="str">
        <f>IF(N123="film &amp; video/science fiction","film &amp; video")</f>
        <v>film &amp; video</v>
      </c>
      <c r="R123" t="str">
        <f>IF(N123="film &amp; video/science fiction","science fiction")</f>
        <v>science fiction</v>
      </c>
      <c r="S123" s="9">
        <f t="shared" si="10"/>
        <v>42096.496643518512</v>
      </c>
      <c r="T123" s="9">
        <f t="shared" si="11"/>
        <v>42112.219444444439</v>
      </c>
    </row>
    <row r="124" spans="1:20" ht="29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8"/>
        <v>0</v>
      </c>
      <c r="P124">
        <f t="shared" si="9"/>
        <v>50000000</v>
      </c>
      <c r="Q124" t="str">
        <f t="shared" ref="Q124:Q160" si="12">IF(N124="film &amp; video/science fiction","film &amp; video")</f>
        <v>film &amp; video</v>
      </c>
      <c r="R124" t="str">
        <f t="shared" ref="R124:R160" si="13">IF(N124="film &amp; video/science fiction","science fiction")</f>
        <v>science fiction</v>
      </c>
      <c r="S124" s="9">
        <f t="shared" si="10"/>
        <v>42593.223460648143</v>
      </c>
      <c r="T124" s="9">
        <f t="shared" si="11"/>
        <v>42653.223460648143</v>
      </c>
    </row>
    <row r="125" spans="1:20" ht="43.5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8"/>
        <v>2.7454545454545453E-3</v>
      </c>
      <c r="P125">
        <f t="shared" si="9"/>
        <v>27575.5</v>
      </c>
      <c r="Q125" t="str">
        <f t="shared" si="12"/>
        <v>film &amp; video</v>
      </c>
      <c r="R125" t="str">
        <f t="shared" si="13"/>
        <v>science fiction</v>
      </c>
      <c r="S125" s="9">
        <f t="shared" si="10"/>
        <v>41904.573657407404</v>
      </c>
      <c r="T125" s="9">
        <f t="shared" si="11"/>
        <v>41940.708333333328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8"/>
        <v>0</v>
      </c>
      <c r="P126">
        <f t="shared" si="9"/>
        <v>2000</v>
      </c>
      <c r="Q126" t="str">
        <f t="shared" si="12"/>
        <v>film &amp; video</v>
      </c>
      <c r="R126" t="str">
        <f t="shared" si="13"/>
        <v>science fiction</v>
      </c>
      <c r="S126" s="9">
        <f t="shared" si="10"/>
        <v>42114.720393518517</v>
      </c>
      <c r="T126" s="9">
        <f t="shared" si="11"/>
        <v>42139.720393518517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8"/>
        <v>0.14000000000000001</v>
      </c>
      <c r="P127">
        <f t="shared" si="9"/>
        <v>285</v>
      </c>
      <c r="Q127" t="str">
        <f t="shared" si="12"/>
        <v>film &amp; video</v>
      </c>
      <c r="R127" t="str">
        <f t="shared" si="13"/>
        <v>science fiction</v>
      </c>
      <c r="S127" s="9">
        <f t="shared" si="10"/>
        <v>42709.78564814815</v>
      </c>
      <c r="T127" s="9">
        <f t="shared" si="11"/>
        <v>42769.78564814815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8"/>
        <v>5.5480000000000002E-2</v>
      </c>
      <c r="P128">
        <f t="shared" si="9"/>
        <v>13193.5</v>
      </c>
      <c r="Q128" t="str">
        <f t="shared" si="12"/>
        <v>film &amp; video</v>
      </c>
      <c r="R128" t="str">
        <f t="shared" si="13"/>
        <v>science fiction</v>
      </c>
      <c r="S128" s="9">
        <f t="shared" si="10"/>
        <v>42135.381215277775</v>
      </c>
      <c r="T128" s="9">
        <f t="shared" si="11"/>
        <v>42165.874999999993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8"/>
        <v>2.375E-2</v>
      </c>
      <c r="P129">
        <f t="shared" si="9"/>
        <v>4095</v>
      </c>
      <c r="Q129" t="str">
        <f t="shared" si="12"/>
        <v>film &amp; video</v>
      </c>
      <c r="R129" t="str">
        <f t="shared" si="13"/>
        <v>science fiction</v>
      </c>
      <c r="S129" s="9">
        <f t="shared" si="10"/>
        <v>42067.415983796294</v>
      </c>
      <c r="T129" s="9">
        <f t="shared" si="11"/>
        <v>42097.37431712963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8"/>
        <v>1.8669999999999999E-2</v>
      </c>
      <c r="P130">
        <f t="shared" si="9"/>
        <v>50933.5</v>
      </c>
      <c r="Q130" t="str">
        <f t="shared" si="12"/>
        <v>film &amp; video</v>
      </c>
      <c r="R130" t="str">
        <f t="shared" si="13"/>
        <v>science fiction</v>
      </c>
      <c r="S130" s="9">
        <f t="shared" si="10"/>
        <v>42628.019594907404</v>
      </c>
      <c r="T130" s="9">
        <f t="shared" si="11"/>
        <v>42663.019594907404</v>
      </c>
    </row>
    <row r="131" spans="1:20" ht="43.5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4">E131/D131</f>
        <v>0</v>
      </c>
      <c r="P131">
        <f t="shared" ref="P131:P194" si="15">AVERAGE(D131:E131)</f>
        <v>10000</v>
      </c>
      <c r="Q131" t="str">
        <f t="shared" si="12"/>
        <v>film &amp; video</v>
      </c>
      <c r="R131" t="str">
        <f t="shared" si="13"/>
        <v>science fiction</v>
      </c>
      <c r="S131" s="9">
        <f t="shared" ref="S131:S194" si="16">J131/86400+25569+(-5/24)</f>
        <v>41882.728969907403</v>
      </c>
      <c r="T131" s="9">
        <f t="shared" si="11"/>
        <v>41942.728969907403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4"/>
        <v>0</v>
      </c>
      <c r="P132">
        <f t="shared" si="15"/>
        <v>300</v>
      </c>
      <c r="Q132" t="str">
        <f t="shared" si="12"/>
        <v>film &amp; video</v>
      </c>
      <c r="R132" t="str">
        <f t="shared" si="13"/>
        <v>science fiction</v>
      </c>
      <c r="S132" s="9">
        <f t="shared" si="16"/>
        <v>41778.707083333335</v>
      </c>
      <c r="T132" s="9">
        <f t="shared" ref="T132:T195" si="17">I132/86400+25569+(-5/24)</f>
        <v>41806.636111111111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4"/>
        <v>0</v>
      </c>
      <c r="P133">
        <f t="shared" si="15"/>
        <v>600</v>
      </c>
      <c r="Q133" t="str">
        <f t="shared" si="12"/>
        <v>film &amp; video</v>
      </c>
      <c r="R133" t="str">
        <f t="shared" si="13"/>
        <v>science fiction</v>
      </c>
      <c r="S133" s="9">
        <f t="shared" si="16"/>
        <v>42541.629178240742</v>
      </c>
      <c r="T133" s="9">
        <f t="shared" si="17"/>
        <v>42556.791666666664</v>
      </c>
    </row>
    <row r="134" spans="1:20" ht="43.5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4"/>
        <v>9.5687499999999995E-2</v>
      </c>
      <c r="P134">
        <f t="shared" si="15"/>
        <v>43827.5</v>
      </c>
      <c r="Q134" t="str">
        <f t="shared" si="12"/>
        <v>film &amp; video</v>
      </c>
      <c r="R134" t="str">
        <f t="shared" si="13"/>
        <v>science fiction</v>
      </c>
      <c r="S134" s="9">
        <f t="shared" si="16"/>
        <v>41905.60424768518</v>
      </c>
      <c r="T134" s="9">
        <f t="shared" si="17"/>
        <v>41950.645914351851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4"/>
        <v>0</v>
      </c>
      <c r="P135">
        <f t="shared" si="15"/>
        <v>35882</v>
      </c>
      <c r="Q135" t="str">
        <f t="shared" si="12"/>
        <v>film &amp; video</v>
      </c>
      <c r="R135" t="str">
        <f t="shared" si="13"/>
        <v>science fiction</v>
      </c>
      <c r="S135" s="9">
        <f t="shared" si="16"/>
        <v>42491.599351851844</v>
      </c>
      <c r="T135" s="9">
        <f t="shared" si="17"/>
        <v>42521.521527777775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4"/>
        <v>0</v>
      </c>
      <c r="P136">
        <f t="shared" si="15"/>
        <v>2500</v>
      </c>
      <c r="Q136" t="str">
        <f t="shared" si="12"/>
        <v>film &amp; video</v>
      </c>
      <c r="R136" t="str">
        <f t="shared" si="13"/>
        <v>science fiction</v>
      </c>
      <c r="S136" s="9">
        <f t="shared" si="16"/>
        <v>42221.701597222222</v>
      </c>
      <c r="T136" s="9">
        <f t="shared" si="17"/>
        <v>42251.499999999993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4"/>
        <v>0.13433333333333333</v>
      </c>
      <c r="P137">
        <f t="shared" si="15"/>
        <v>1701.5</v>
      </c>
      <c r="Q137" t="str">
        <f t="shared" si="12"/>
        <v>film &amp; video</v>
      </c>
      <c r="R137" t="str">
        <f t="shared" si="13"/>
        <v>science fiction</v>
      </c>
      <c r="S137" s="9">
        <f t="shared" si="16"/>
        <v>41788.173576388886</v>
      </c>
      <c r="T137" s="9">
        <f t="shared" si="17"/>
        <v>41821.583333333328</v>
      </c>
    </row>
    <row r="138" spans="1:20" ht="43.5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4"/>
        <v>0</v>
      </c>
      <c r="P138">
        <f t="shared" si="15"/>
        <v>1500</v>
      </c>
      <c r="Q138" t="str">
        <f t="shared" si="12"/>
        <v>film &amp; video</v>
      </c>
      <c r="R138" t="str">
        <f t="shared" si="13"/>
        <v>science fiction</v>
      </c>
      <c r="S138" s="9">
        <f t="shared" si="16"/>
        <v>42096.201782407406</v>
      </c>
      <c r="T138" s="9">
        <f t="shared" si="17"/>
        <v>42140.219444444439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4"/>
        <v>0</v>
      </c>
      <c r="P139">
        <f t="shared" si="15"/>
        <v>27500</v>
      </c>
      <c r="Q139" t="str">
        <f t="shared" si="12"/>
        <v>film &amp; video</v>
      </c>
      <c r="R139" t="str">
        <f t="shared" si="13"/>
        <v>science fiction</v>
      </c>
      <c r="S139" s="9">
        <f t="shared" si="16"/>
        <v>42239.365659722222</v>
      </c>
      <c r="T139" s="9">
        <f t="shared" si="17"/>
        <v>42289.365659722222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4"/>
        <v>3.1413333333333335E-2</v>
      </c>
      <c r="P140">
        <f t="shared" si="15"/>
        <v>77356</v>
      </c>
      <c r="Q140" t="str">
        <f t="shared" si="12"/>
        <v>film &amp; video</v>
      </c>
      <c r="R140" t="str">
        <f t="shared" si="13"/>
        <v>science fiction</v>
      </c>
      <c r="S140" s="9">
        <f t="shared" si="16"/>
        <v>42186.049085648141</v>
      </c>
      <c r="T140" s="9">
        <f t="shared" si="17"/>
        <v>42216.999305555553</v>
      </c>
    </row>
    <row r="141" spans="1:20" ht="29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4"/>
        <v>1</v>
      </c>
      <c r="P141">
        <f t="shared" si="15"/>
        <v>500</v>
      </c>
      <c r="Q141" t="str">
        <f t="shared" si="12"/>
        <v>film &amp; video</v>
      </c>
      <c r="R141" t="str">
        <f t="shared" si="13"/>
        <v>science fiction</v>
      </c>
      <c r="S141" s="9">
        <f t="shared" si="16"/>
        <v>42187.712638888886</v>
      </c>
      <c r="T141" s="9">
        <f t="shared" si="17"/>
        <v>42197.712638888886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4"/>
        <v>0</v>
      </c>
      <c r="P142">
        <f t="shared" si="15"/>
        <v>100000</v>
      </c>
      <c r="Q142" t="str">
        <f t="shared" si="12"/>
        <v>film &amp; video</v>
      </c>
      <c r="R142" t="str">
        <f t="shared" si="13"/>
        <v>science fiction</v>
      </c>
      <c r="S142" s="9">
        <f t="shared" si="16"/>
        <v>42052.989953703705</v>
      </c>
      <c r="T142" s="9">
        <f t="shared" si="17"/>
        <v>42082.948287037034</v>
      </c>
    </row>
    <row r="143" spans="1:20" ht="29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4"/>
        <v>0.10775</v>
      </c>
      <c r="P143">
        <f t="shared" si="15"/>
        <v>6646.5</v>
      </c>
      <c r="Q143" t="str">
        <f t="shared" si="12"/>
        <v>film &amp; video</v>
      </c>
      <c r="R143" t="str">
        <f t="shared" si="13"/>
        <v>science fiction</v>
      </c>
      <c r="S143" s="9">
        <f t="shared" si="16"/>
        <v>42109.944710648146</v>
      </c>
      <c r="T143" s="9">
        <f t="shared" si="17"/>
        <v>42154.944710648146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4"/>
        <v>3.3333333333333335E-3</v>
      </c>
      <c r="P144">
        <f t="shared" si="15"/>
        <v>1505</v>
      </c>
      <c r="Q144" t="str">
        <f t="shared" si="12"/>
        <v>film &amp; video</v>
      </c>
      <c r="R144" t="str">
        <f t="shared" si="13"/>
        <v>science fiction</v>
      </c>
      <c r="S144" s="9">
        <f t="shared" si="16"/>
        <v>41938.684930555552</v>
      </c>
      <c r="T144" s="9">
        <f t="shared" si="17"/>
        <v>41959.726597222216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4"/>
        <v>0</v>
      </c>
      <c r="P145">
        <f t="shared" si="15"/>
        <v>2750</v>
      </c>
      <c r="Q145" t="str">
        <f t="shared" si="12"/>
        <v>film &amp; video</v>
      </c>
      <c r="R145" t="str">
        <f t="shared" si="13"/>
        <v>science fiction</v>
      </c>
      <c r="S145" s="9">
        <f t="shared" si="16"/>
        <v>42558.855810185181</v>
      </c>
      <c r="T145" s="9">
        <f t="shared" si="17"/>
        <v>42616.038194444445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4"/>
        <v>0.27600000000000002</v>
      </c>
      <c r="P146">
        <f t="shared" si="15"/>
        <v>4785</v>
      </c>
      <c r="Q146" t="str">
        <f t="shared" si="12"/>
        <v>film &amp; video</v>
      </c>
      <c r="R146" t="str">
        <f t="shared" si="13"/>
        <v>science fiction</v>
      </c>
      <c r="S146" s="9">
        <f t="shared" si="16"/>
        <v>42047.554074074076</v>
      </c>
      <c r="T146" s="9">
        <f t="shared" si="17"/>
        <v>42107.512407407405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4"/>
        <v>7.5111111111111115E-2</v>
      </c>
      <c r="P147">
        <f t="shared" si="15"/>
        <v>2419</v>
      </c>
      <c r="Q147" t="str">
        <f t="shared" si="12"/>
        <v>film &amp; video</v>
      </c>
      <c r="R147" t="str">
        <f t="shared" si="13"/>
        <v>science fiction</v>
      </c>
      <c r="S147" s="9">
        <f t="shared" si="16"/>
        <v>42200.333935185183</v>
      </c>
      <c r="T147" s="9">
        <f t="shared" si="17"/>
        <v>42227.333935185183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4"/>
        <v>5.7499999999999999E-3</v>
      </c>
      <c r="P148">
        <f t="shared" si="15"/>
        <v>10057.5</v>
      </c>
      <c r="Q148" t="str">
        <f t="shared" si="12"/>
        <v>film &amp; video</v>
      </c>
      <c r="R148" t="str">
        <f t="shared" si="13"/>
        <v>science fiction</v>
      </c>
      <c r="S148" s="9">
        <f t="shared" si="16"/>
        <v>42692.807847222219</v>
      </c>
      <c r="T148" s="9">
        <f t="shared" si="17"/>
        <v>42752.807847222219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4"/>
        <v>0</v>
      </c>
      <c r="P149">
        <f t="shared" si="15"/>
        <v>3500</v>
      </c>
      <c r="Q149" t="str">
        <f t="shared" si="12"/>
        <v>film &amp; video</v>
      </c>
      <c r="R149" t="str">
        <f t="shared" si="13"/>
        <v>science fiction</v>
      </c>
      <c r="S149" s="9">
        <f t="shared" si="16"/>
        <v>41969.559490740743</v>
      </c>
      <c r="T149" s="9">
        <f t="shared" si="17"/>
        <v>42012.554166666661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4"/>
        <v>8.0000000000000004E-4</v>
      </c>
      <c r="P150">
        <f t="shared" si="15"/>
        <v>25020</v>
      </c>
      <c r="Q150" t="str">
        <f t="shared" si="12"/>
        <v>film &amp; video</v>
      </c>
      <c r="R150" t="str">
        <f t="shared" si="13"/>
        <v>science fiction</v>
      </c>
      <c r="S150" s="9">
        <f t="shared" si="16"/>
        <v>42397.073333333326</v>
      </c>
      <c r="T150" s="9">
        <f t="shared" si="17"/>
        <v>42427.073333333326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4"/>
        <v>9.1999999999999998E-3</v>
      </c>
      <c r="P151">
        <f t="shared" si="15"/>
        <v>5046</v>
      </c>
      <c r="Q151" t="str">
        <f t="shared" si="12"/>
        <v>film &amp; video</v>
      </c>
      <c r="R151" t="str">
        <f t="shared" si="13"/>
        <v>science fiction</v>
      </c>
      <c r="S151" s="9">
        <f t="shared" si="16"/>
        <v>41967.963773148142</v>
      </c>
      <c r="T151" s="9">
        <f t="shared" si="17"/>
        <v>41998.124999999993</v>
      </c>
    </row>
    <row r="152" spans="1:20" ht="29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4"/>
        <v>0.23163076923076922</v>
      </c>
      <c r="P152">
        <f t="shared" si="15"/>
        <v>80056</v>
      </c>
      <c r="Q152" t="str">
        <f t="shared" si="12"/>
        <v>film &amp; video</v>
      </c>
      <c r="R152" t="str">
        <f t="shared" si="13"/>
        <v>science fiction</v>
      </c>
      <c r="S152" s="9">
        <f t="shared" si="16"/>
        <v>42089.95349537037</v>
      </c>
      <c r="T152" s="9">
        <f t="shared" si="17"/>
        <v>42149.95349537037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4"/>
        <v>5.5999999999999995E-4</v>
      </c>
      <c r="P153">
        <f t="shared" si="15"/>
        <v>125070</v>
      </c>
      <c r="Q153" t="str">
        <f t="shared" si="12"/>
        <v>film &amp; video</v>
      </c>
      <c r="R153" t="str">
        <f t="shared" si="13"/>
        <v>science fiction</v>
      </c>
      <c r="S153" s="9">
        <f t="shared" si="16"/>
        <v>42113.342488425922</v>
      </c>
      <c r="T153" s="9">
        <f t="shared" si="17"/>
        <v>42173.342488425922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4"/>
        <v>7.8947368421052633E-5</v>
      </c>
      <c r="P154">
        <f t="shared" si="15"/>
        <v>190015</v>
      </c>
      <c r="Q154" t="str">
        <f t="shared" si="12"/>
        <v>film &amp; video</v>
      </c>
      <c r="R154" t="str">
        <f t="shared" si="13"/>
        <v>science fiction</v>
      </c>
      <c r="S154" s="9">
        <f t="shared" si="16"/>
        <v>41874.869212962956</v>
      </c>
      <c r="T154" s="9">
        <f t="shared" si="17"/>
        <v>41904.869212962956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4"/>
        <v>7.1799999999999998E-3</v>
      </c>
      <c r="P155">
        <f t="shared" si="15"/>
        <v>25179.5</v>
      </c>
      <c r="Q155" t="str">
        <f t="shared" si="12"/>
        <v>film &amp; video</v>
      </c>
      <c r="R155" t="str">
        <f t="shared" si="13"/>
        <v>science fiction</v>
      </c>
      <c r="S155" s="9">
        <f t="shared" si="16"/>
        <v>41933.377824074072</v>
      </c>
      <c r="T155" s="9">
        <f t="shared" si="17"/>
        <v>41975.419490740744</v>
      </c>
    </row>
    <row r="156" spans="1:20" ht="29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4"/>
        <v>2.6666666666666668E-2</v>
      </c>
      <c r="P156">
        <f t="shared" si="15"/>
        <v>770</v>
      </c>
      <c r="Q156" t="str">
        <f t="shared" si="12"/>
        <v>film &amp; video</v>
      </c>
      <c r="R156" t="str">
        <f t="shared" si="13"/>
        <v>science fiction</v>
      </c>
      <c r="S156" s="9">
        <f t="shared" si="16"/>
        <v>42115.339062499996</v>
      </c>
      <c r="T156" s="9">
        <f t="shared" si="17"/>
        <v>42158.339062499996</v>
      </c>
    </row>
    <row r="157" spans="1:20" ht="43.5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4"/>
        <v>6.0000000000000002E-5</v>
      </c>
      <c r="P157">
        <f t="shared" si="15"/>
        <v>675040.5</v>
      </c>
      <c r="Q157" t="str">
        <f t="shared" si="12"/>
        <v>film &amp; video</v>
      </c>
      <c r="R157" t="str">
        <f t="shared" si="13"/>
        <v>science fiction</v>
      </c>
      <c r="S157" s="9">
        <f t="shared" si="16"/>
        <v>42168.351099537038</v>
      </c>
      <c r="T157" s="9">
        <f t="shared" si="17"/>
        <v>42208.351099537038</v>
      </c>
    </row>
    <row r="158" spans="1:20" ht="43.5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4"/>
        <v>5.0999999999999997E-2</v>
      </c>
      <c r="P158">
        <f t="shared" si="15"/>
        <v>18392.5</v>
      </c>
      <c r="Q158" t="str">
        <f t="shared" si="12"/>
        <v>film &amp; video</v>
      </c>
      <c r="R158" t="str">
        <f t="shared" si="13"/>
        <v>science fiction</v>
      </c>
      <c r="S158" s="9">
        <f t="shared" si="16"/>
        <v>41793.916620370372</v>
      </c>
      <c r="T158" s="9">
        <f t="shared" si="17"/>
        <v>41853.916620370372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4"/>
        <v>2.671118530884808E-3</v>
      </c>
      <c r="P159">
        <f t="shared" si="15"/>
        <v>1501.5</v>
      </c>
      <c r="Q159" t="str">
        <f t="shared" si="12"/>
        <v>film &amp; video</v>
      </c>
      <c r="R159" t="str">
        <f t="shared" si="13"/>
        <v>science fiction</v>
      </c>
      <c r="S159" s="9">
        <f t="shared" si="16"/>
        <v>42396.703379629624</v>
      </c>
      <c r="T159" s="9">
        <f t="shared" si="17"/>
        <v>42426.703379629624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4"/>
        <v>0</v>
      </c>
      <c r="P160">
        <f t="shared" si="15"/>
        <v>2500</v>
      </c>
      <c r="Q160" t="str">
        <f t="shared" si="12"/>
        <v>film &amp; video</v>
      </c>
      <c r="R160" t="str">
        <f t="shared" si="13"/>
        <v>science fiction</v>
      </c>
      <c r="S160" s="9">
        <f t="shared" si="16"/>
        <v>41903.868379629625</v>
      </c>
      <c r="T160" s="9">
        <f t="shared" si="17"/>
        <v>41933.868379629625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4"/>
        <v>2.0000000000000002E-5</v>
      </c>
      <c r="P161">
        <f t="shared" si="15"/>
        <v>250005</v>
      </c>
      <c r="Q161" t="str">
        <f>IF(N161="film &amp; video/science fiction","film &amp; video")</f>
        <v>film &amp; video</v>
      </c>
      <c r="R161" t="str">
        <f>IF(N161="film &amp; video/science fiction","science fiction")</f>
        <v>science fiction</v>
      </c>
      <c r="S161" s="9">
        <f t="shared" si="16"/>
        <v>42514.226215277777</v>
      </c>
      <c r="T161" s="9">
        <f t="shared" si="17"/>
        <v>42554.226215277777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4"/>
        <v>0</v>
      </c>
      <c r="P162">
        <f t="shared" si="15"/>
        <v>2500</v>
      </c>
      <c r="Q162" t="str">
        <f>IF(N162="film &amp; video/drama","film &amp; video")</f>
        <v>film &amp; video</v>
      </c>
      <c r="R162" t="str">
        <f>IF(N162="film &amp; video/drama","drama")</f>
        <v>drama</v>
      </c>
      <c r="S162" s="9">
        <f t="shared" si="16"/>
        <v>42171.70475694444</v>
      </c>
      <c r="T162" s="9">
        <f t="shared" si="17"/>
        <v>42231.70475694444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4"/>
        <v>1E-4</v>
      </c>
      <c r="P163">
        <f t="shared" si="15"/>
        <v>25002.5</v>
      </c>
      <c r="Q163" t="str">
        <f>IF(N163="film &amp; video/drama","film &amp; video")</f>
        <v>film &amp; video</v>
      </c>
      <c r="R163" t="str">
        <f>IF(N163="film &amp; video/drama","drama")</f>
        <v>drama</v>
      </c>
      <c r="S163" s="9">
        <f t="shared" si="16"/>
        <v>41792.479108796295</v>
      </c>
      <c r="T163" s="9">
        <f t="shared" si="17"/>
        <v>41822.479108796295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4"/>
        <v>0.15535714285714286</v>
      </c>
      <c r="P164">
        <f t="shared" si="15"/>
        <v>1617.5</v>
      </c>
      <c r="Q164" t="str">
        <f t="shared" ref="Q164:Q227" si="18">IF(N164="film &amp; video/drama","film &amp; video")</f>
        <v>film &amp; video</v>
      </c>
      <c r="R164" t="str">
        <f t="shared" ref="R164:R227" si="19">IF(N164="film &amp; video/drama","drama")</f>
        <v>drama</v>
      </c>
      <c r="S164" s="9">
        <f t="shared" si="16"/>
        <v>41834.91847222222</v>
      </c>
      <c r="T164" s="9">
        <f t="shared" si="17"/>
        <v>41867.779166666667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4"/>
        <v>0</v>
      </c>
      <c r="P165">
        <f t="shared" si="15"/>
        <v>1000000</v>
      </c>
      <c r="Q165" t="str">
        <f t="shared" si="18"/>
        <v>film &amp; video</v>
      </c>
      <c r="R165" t="str">
        <f t="shared" si="19"/>
        <v>drama</v>
      </c>
      <c r="S165" s="9">
        <f t="shared" si="16"/>
        <v>42243.752939814811</v>
      </c>
      <c r="T165" s="9">
        <f t="shared" si="17"/>
        <v>42277.791666666664</v>
      </c>
    </row>
    <row r="166" spans="1:20" ht="43.5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4"/>
        <v>5.3333333333333332E-3</v>
      </c>
      <c r="P166">
        <f t="shared" si="15"/>
        <v>60320</v>
      </c>
      <c r="Q166" t="str">
        <f t="shared" si="18"/>
        <v>film &amp; video</v>
      </c>
      <c r="R166" t="str">
        <f t="shared" si="19"/>
        <v>drama</v>
      </c>
      <c r="S166" s="9">
        <f t="shared" si="16"/>
        <v>41841.554409722223</v>
      </c>
      <c r="T166" s="9">
        <f t="shared" si="17"/>
        <v>41901.554409722223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4"/>
        <v>0</v>
      </c>
      <c r="P167">
        <f t="shared" si="15"/>
        <v>8500</v>
      </c>
      <c r="Q167" t="str">
        <f t="shared" si="18"/>
        <v>film &amp; video</v>
      </c>
      <c r="R167" t="str">
        <f t="shared" si="19"/>
        <v>drama</v>
      </c>
      <c r="S167" s="9">
        <f t="shared" si="16"/>
        <v>42351.450509259252</v>
      </c>
      <c r="T167" s="9">
        <f t="shared" si="17"/>
        <v>42381.450509259252</v>
      </c>
    </row>
    <row r="168" spans="1:20" ht="29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4"/>
        <v>0.6</v>
      </c>
      <c r="P168">
        <f t="shared" si="15"/>
        <v>4000</v>
      </c>
      <c r="Q168" t="str">
        <f t="shared" si="18"/>
        <v>film &amp; video</v>
      </c>
      <c r="R168" t="str">
        <f t="shared" si="19"/>
        <v>drama</v>
      </c>
      <c r="S168" s="9">
        <f t="shared" si="16"/>
        <v>42720.867615740739</v>
      </c>
      <c r="T168" s="9">
        <f t="shared" si="17"/>
        <v>42750.867615740739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4"/>
        <v>1E-4</v>
      </c>
      <c r="P169">
        <f t="shared" si="15"/>
        <v>55005.5</v>
      </c>
      <c r="Q169" t="str">
        <f t="shared" si="18"/>
        <v>film &amp; video</v>
      </c>
      <c r="R169" t="str">
        <f t="shared" si="19"/>
        <v>drama</v>
      </c>
      <c r="S169" s="9">
        <f t="shared" si="16"/>
        <v>42160.719155092585</v>
      </c>
      <c r="T169" s="9">
        <f t="shared" si="17"/>
        <v>42220.719155092585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4"/>
        <v>4.0625000000000001E-2</v>
      </c>
      <c r="P170">
        <f t="shared" si="15"/>
        <v>4162.5</v>
      </c>
      <c r="Q170" t="str">
        <f t="shared" si="18"/>
        <v>film &amp; video</v>
      </c>
      <c r="R170" t="str">
        <f t="shared" si="19"/>
        <v>drama</v>
      </c>
      <c r="S170" s="9">
        <f t="shared" si="16"/>
        <v>42052.626967592594</v>
      </c>
      <c r="T170" s="9">
        <f t="shared" si="17"/>
        <v>42082.585300925923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4"/>
        <v>0.224</v>
      </c>
      <c r="P171">
        <f t="shared" si="15"/>
        <v>1530</v>
      </c>
      <c r="Q171" t="str">
        <f t="shared" si="18"/>
        <v>film &amp; video</v>
      </c>
      <c r="R171" t="str">
        <f t="shared" si="19"/>
        <v>drama</v>
      </c>
      <c r="S171" s="9">
        <f t="shared" si="16"/>
        <v>41900.296979166662</v>
      </c>
      <c r="T171" s="9">
        <f t="shared" si="17"/>
        <v>41930.296979166662</v>
      </c>
    </row>
    <row r="172" spans="1:20" ht="43.5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4"/>
        <v>3.2500000000000001E-2</v>
      </c>
      <c r="P172">
        <f t="shared" si="15"/>
        <v>5162.5</v>
      </c>
      <c r="Q172" t="str">
        <f t="shared" si="18"/>
        <v>film &amp; video</v>
      </c>
      <c r="R172" t="str">
        <f t="shared" si="19"/>
        <v>drama</v>
      </c>
      <c r="S172" s="9">
        <f t="shared" si="16"/>
        <v>42216.769479166665</v>
      </c>
      <c r="T172" s="9">
        <f t="shared" si="17"/>
        <v>42246.019444444442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4"/>
        <v>2.0000000000000002E-5</v>
      </c>
      <c r="P173">
        <f t="shared" si="15"/>
        <v>25000.5</v>
      </c>
      <c r="Q173" t="str">
        <f t="shared" si="18"/>
        <v>film &amp; video</v>
      </c>
      <c r="R173" t="str">
        <f t="shared" si="19"/>
        <v>drama</v>
      </c>
      <c r="S173" s="9">
        <f t="shared" si="16"/>
        <v>42533.972384259258</v>
      </c>
      <c r="T173" s="9">
        <f t="shared" si="17"/>
        <v>42593.972384259258</v>
      </c>
    </row>
    <row r="174" spans="1:20" ht="29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4"/>
        <v>0</v>
      </c>
      <c r="P174">
        <f t="shared" si="15"/>
        <v>47500</v>
      </c>
      <c r="Q174" t="str">
        <f t="shared" si="18"/>
        <v>film &amp; video</v>
      </c>
      <c r="R174" t="str">
        <f t="shared" si="19"/>
        <v>drama</v>
      </c>
      <c r="S174" s="9">
        <f t="shared" si="16"/>
        <v>42047.186608796292</v>
      </c>
      <c r="T174" s="9">
        <f t="shared" si="17"/>
        <v>42082.144942129627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4"/>
        <v>0</v>
      </c>
      <c r="P175">
        <f t="shared" si="15"/>
        <v>555</v>
      </c>
      <c r="Q175" t="str">
        <f t="shared" si="18"/>
        <v>film &amp; video</v>
      </c>
      <c r="R175" t="str">
        <f t="shared" si="19"/>
        <v>drama</v>
      </c>
      <c r="S175" s="9">
        <f t="shared" si="16"/>
        <v>42033.364675925921</v>
      </c>
      <c r="T175" s="9">
        <f t="shared" si="17"/>
        <v>42063.364675925921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4"/>
        <v>0</v>
      </c>
      <c r="P176">
        <f t="shared" si="15"/>
        <v>3000</v>
      </c>
      <c r="Q176" t="str">
        <f t="shared" si="18"/>
        <v>film &amp; video</v>
      </c>
      <c r="R176" t="str">
        <f t="shared" si="19"/>
        <v>drama</v>
      </c>
      <c r="S176" s="9">
        <f t="shared" si="16"/>
        <v>42072.55064814815</v>
      </c>
      <c r="T176" s="9">
        <f t="shared" si="17"/>
        <v>42132.55064814815</v>
      </c>
    </row>
    <row r="177" spans="1:20" ht="43.5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4"/>
        <v>6.4850000000000005E-2</v>
      </c>
      <c r="P177">
        <f t="shared" si="15"/>
        <v>10648.5</v>
      </c>
      <c r="Q177" t="str">
        <f t="shared" si="18"/>
        <v>film &amp; video</v>
      </c>
      <c r="R177" t="str">
        <f t="shared" si="19"/>
        <v>drama</v>
      </c>
      <c r="S177" s="9">
        <f t="shared" si="16"/>
        <v>41855.569571759253</v>
      </c>
      <c r="T177" s="9">
        <f t="shared" si="17"/>
        <v>41880.569571759253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4"/>
        <v>0</v>
      </c>
      <c r="P178">
        <f t="shared" si="15"/>
        <v>750</v>
      </c>
      <c r="Q178" t="str">
        <f t="shared" si="18"/>
        <v>film &amp; video</v>
      </c>
      <c r="R178" t="str">
        <f t="shared" si="19"/>
        <v>drama</v>
      </c>
      <c r="S178" s="9">
        <f t="shared" si="16"/>
        <v>42191.615729166668</v>
      </c>
      <c r="T178" s="9">
        <f t="shared" si="17"/>
        <v>42221.615729166668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4"/>
        <v>0.4</v>
      </c>
      <c r="P179">
        <f t="shared" si="15"/>
        <v>315</v>
      </c>
      <c r="Q179" t="str">
        <f t="shared" si="18"/>
        <v>film &amp; video</v>
      </c>
      <c r="R179" t="str">
        <f t="shared" si="19"/>
        <v>drama</v>
      </c>
      <c r="S179" s="9">
        <f t="shared" si="16"/>
        <v>42069.839421296296</v>
      </c>
      <c r="T179" s="9">
        <f t="shared" si="17"/>
        <v>42086.797754629624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4"/>
        <v>0</v>
      </c>
      <c r="P180">
        <f t="shared" si="15"/>
        <v>250000</v>
      </c>
      <c r="Q180" t="str">
        <f t="shared" si="18"/>
        <v>film &amp; video</v>
      </c>
      <c r="R180" t="str">
        <f t="shared" si="19"/>
        <v>drama</v>
      </c>
      <c r="S180" s="9">
        <f t="shared" si="16"/>
        <v>42304.747048611105</v>
      </c>
      <c r="T180" s="9">
        <f t="shared" si="17"/>
        <v>42334.788715277777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4"/>
        <v>0.2</v>
      </c>
      <c r="P181">
        <f t="shared" si="15"/>
        <v>600</v>
      </c>
      <c r="Q181" t="str">
        <f t="shared" si="18"/>
        <v>film &amp; video</v>
      </c>
      <c r="R181" t="str">
        <f t="shared" si="19"/>
        <v>drama</v>
      </c>
      <c r="S181" s="9">
        <f t="shared" si="16"/>
        <v>42402.872164351851</v>
      </c>
      <c r="T181" s="9">
        <f t="shared" si="17"/>
        <v>42432.872164351851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4"/>
        <v>0.33416666666666667</v>
      </c>
      <c r="P182">
        <f t="shared" si="15"/>
        <v>800.5</v>
      </c>
      <c r="Q182" t="str">
        <f t="shared" si="18"/>
        <v>film &amp; video</v>
      </c>
      <c r="R182" t="str">
        <f t="shared" si="19"/>
        <v>drama</v>
      </c>
      <c r="S182" s="9">
        <f t="shared" si="16"/>
        <v>42067.782905092587</v>
      </c>
      <c r="T182" s="9">
        <f t="shared" si="17"/>
        <v>42107.583333333336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4"/>
        <v>0.21092608822670172</v>
      </c>
      <c r="P183">
        <f t="shared" si="15"/>
        <v>2072.5</v>
      </c>
      <c r="Q183" t="str">
        <f t="shared" si="18"/>
        <v>film &amp; video</v>
      </c>
      <c r="R183" t="str">
        <f t="shared" si="19"/>
        <v>drama</v>
      </c>
      <c r="S183" s="9">
        <f t="shared" si="16"/>
        <v>42147.533506944441</v>
      </c>
      <c r="T183" s="9">
        <f t="shared" si="17"/>
        <v>42177.533506944441</v>
      </c>
    </row>
    <row r="184" spans="1:20" ht="43.5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4"/>
        <v>0</v>
      </c>
      <c r="P184">
        <f t="shared" si="15"/>
        <v>500</v>
      </c>
      <c r="Q184" t="str">
        <f t="shared" si="18"/>
        <v>film &amp; video</v>
      </c>
      <c r="R184" t="str">
        <f t="shared" si="19"/>
        <v>drama</v>
      </c>
      <c r="S184" s="9">
        <f t="shared" si="16"/>
        <v>42711.803611111107</v>
      </c>
      <c r="T184" s="9">
        <f t="shared" si="17"/>
        <v>42741.803611111107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4"/>
        <v>0.35855999999999999</v>
      </c>
      <c r="P185">
        <f t="shared" si="15"/>
        <v>8491</v>
      </c>
      <c r="Q185" t="str">
        <f t="shared" si="18"/>
        <v>film &amp; video</v>
      </c>
      <c r="R185" t="str">
        <f t="shared" si="19"/>
        <v>drama</v>
      </c>
      <c r="S185" s="9">
        <f t="shared" si="16"/>
        <v>41939.601967592593</v>
      </c>
      <c r="T185" s="9">
        <f t="shared" si="17"/>
        <v>41969.643634259257</v>
      </c>
    </row>
    <row r="186" spans="1:20" ht="43.5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4"/>
        <v>3.4000000000000002E-2</v>
      </c>
      <c r="P186">
        <f t="shared" si="15"/>
        <v>775.5</v>
      </c>
      <c r="Q186" t="str">
        <f t="shared" si="18"/>
        <v>film &amp; video</v>
      </c>
      <c r="R186" t="str">
        <f t="shared" si="19"/>
        <v>drama</v>
      </c>
      <c r="S186" s="9">
        <f t="shared" si="16"/>
        <v>41825.58289351852</v>
      </c>
      <c r="T186" s="9">
        <f t="shared" si="17"/>
        <v>41882.957638888889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4"/>
        <v>5.5E-2</v>
      </c>
      <c r="P187">
        <f t="shared" si="15"/>
        <v>21100</v>
      </c>
      <c r="Q187" t="str">
        <f t="shared" si="18"/>
        <v>film &amp; video</v>
      </c>
      <c r="R187" t="str">
        <f t="shared" si="19"/>
        <v>drama</v>
      </c>
      <c r="S187" s="9">
        <f t="shared" si="16"/>
        <v>42570.702997685185</v>
      </c>
      <c r="T187" s="9">
        <f t="shared" si="17"/>
        <v>42600.702997685185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4"/>
        <v>0</v>
      </c>
      <c r="P188">
        <f t="shared" si="15"/>
        <v>2500</v>
      </c>
      <c r="Q188" t="str">
        <f t="shared" si="18"/>
        <v>film &amp; video</v>
      </c>
      <c r="R188" t="str">
        <f t="shared" si="19"/>
        <v>drama</v>
      </c>
      <c r="S188" s="9">
        <f t="shared" si="16"/>
        <v>42767.604560185187</v>
      </c>
      <c r="T188" s="9">
        <f t="shared" si="17"/>
        <v>42797.624999999993</v>
      </c>
    </row>
    <row r="189" spans="1:20" ht="29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4"/>
        <v>0.16</v>
      </c>
      <c r="P189">
        <f t="shared" si="15"/>
        <v>2900</v>
      </c>
      <c r="Q189" t="str">
        <f t="shared" si="18"/>
        <v>film &amp; video</v>
      </c>
      <c r="R189" t="str">
        <f t="shared" si="19"/>
        <v>drama</v>
      </c>
      <c r="S189" s="9">
        <f t="shared" si="16"/>
        <v>42182.02612268518</v>
      </c>
      <c r="T189" s="9">
        <f t="shared" si="17"/>
        <v>42206.082638888889</v>
      </c>
    </row>
    <row r="190" spans="1:20" ht="43.5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4"/>
        <v>0</v>
      </c>
      <c r="P190">
        <f t="shared" si="15"/>
        <v>750</v>
      </c>
      <c r="Q190" t="str">
        <f t="shared" si="18"/>
        <v>film &amp; video</v>
      </c>
      <c r="R190" t="str">
        <f t="shared" si="19"/>
        <v>drama</v>
      </c>
      <c r="S190" s="9">
        <f t="shared" si="16"/>
        <v>41856.974710648145</v>
      </c>
      <c r="T190" s="9">
        <f t="shared" si="17"/>
        <v>41886.974710648145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4"/>
        <v>6.8999999999999997E-4</v>
      </c>
      <c r="P191">
        <f t="shared" si="15"/>
        <v>250172.5</v>
      </c>
      <c r="Q191" t="str">
        <f t="shared" si="18"/>
        <v>film &amp; video</v>
      </c>
      <c r="R191" t="str">
        <f t="shared" si="19"/>
        <v>drama</v>
      </c>
      <c r="S191" s="9">
        <f t="shared" si="16"/>
        <v>42556.482372685183</v>
      </c>
      <c r="T191" s="9">
        <f t="shared" si="17"/>
        <v>42616.482372685183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4"/>
        <v>4.1666666666666666E-3</v>
      </c>
      <c r="P192">
        <f t="shared" si="15"/>
        <v>6025</v>
      </c>
      <c r="Q192" t="str">
        <f t="shared" si="18"/>
        <v>film &amp; video</v>
      </c>
      <c r="R192" t="str">
        <f t="shared" si="19"/>
        <v>drama</v>
      </c>
      <c r="S192" s="9">
        <f t="shared" si="16"/>
        <v>42527.442662037036</v>
      </c>
      <c r="T192" s="9">
        <f t="shared" si="17"/>
        <v>42537.442662037036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4"/>
        <v>0.05</v>
      </c>
      <c r="P193">
        <f t="shared" si="15"/>
        <v>2625</v>
      </c>
      <c r="Q193" t="str">
        <f t="shared" si="18"/>
        <v>film &amp; video</v>
      </c>
      <c r="R193" t="str">
        <f t="shared" si="19"/>
        <v>drama</v>
      </c>
      <c r="S193" s="9">
        <f t="shared" si="16"/>
        <v>42239.233078703699</v>
      </c>
      <c r="T193" s="9">
        <f t="shared" si="17"/>
        <v>42279.233078703699</v>
      </c>
    </row>
    <row r="194" spans="1:20" ht="43.5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4"/>
        <v>1.7E-5</v>
      </c>
      <c r="P194">
        <f t="shared" si="15"/>
        <v>500008.5</v>
      </c>
      <c r="Q194" t="str">
        <f t="shared" si="18"/>
        <v>film &amp; video</v>
      </c>
      <c r="R194" t="str">
        <f t="shared" si="19"/>
        <v>drama</v>
      </c>
      <c r="S194" s="9">
        <f t="shared" si="16"/>
        <v>41899.583703703705</v>
      </c>
      <c r="T194" s="9">
        <f t="shared" si="17"/>
        <v>41929.583703703705</v>
      </c>
    </row>
    <row r="195" spans="1:20" ht="43.5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0">E195/D195</f>
        <v>0</v>
      </c>
      <c r="P195">
        <f t="shared" ref="P195:P258" si="21">AVERAGE(D195:E195)</f>
        <v>500</v>
      </c>
      <c r="Q195" t="str">
        <f t="shared" si="18"/>
        <v>film &amp; video</v>
      </c>
      <c r="R195" t="str">
        <f t="shared" si="19"/>
        <v>drama</v>
      </c>
      <c r="S195" s="9">
        <f t="shared" ref="S195:S258" si="22">J195/86400+25569+(-5/24)</f>
        <v>41911.726458333331</v>
      </c>
      <c r="T195" s="9">
        <f t="shared" si="17"/>
        <v>41971.768124999995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0"/>
        <v>1.1999999999999999E-3</v>
      </c>
      <c r="P196">
        <f t="shared" si="21"/>
        <v>1251.5</v>
      </c>
      <c r="Q196" t="str">
        <f t="shared" si="18"/>
        <v>film &amp; video</v>
      </c>
      <c r="R196" t="str">
        <f t="shared" si="19"/>
        <v>drama</v>
      </c>
      <c r="S196" s="9">
        <f t="shared" si="22"/>
        <v>42375.788553240738</v>
      </c>
      <c r="T196" s="9">
        <f t="shared" ref="T196:T259" si="23">I196/86400+25569+(-5/24)</f>
        <v>42435.788553240738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0"/>
        <v>0</v>
      </c>
      <c r="P197">
        <f t="shared" si="21"/>
        <v>1000000</v>
      </c>
      <c r="Q197" t="str">
        <f t="shared" si="18"/>
        <v>film &amp; video</v>
      </c>
      <c r="R197" t="str">
        <f t="shared" si="19"/>
        <v>drama</v>
      </c>
      <c r="S197" s="9">
        <f t="shared" si="22"/>
        <v>42135.462175925924</v>
      </c>
      <c r="T197" s="9">
        <f t="shared" si="23"/>
        <v>42195.462175925924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0"/>
        <v>0.41857142857142859</v>
      </c>
      <c r="P198">
        <f t="shared" si="21"/>
        <v>2482.5</v>
      </c>
      <c r="Q198" t="str">
        <f t="shared" si="18"/>
        <v>film &amp; video</v>
      </c>
      <c r="R198" t="str">
        <f t="shared" si="19"/>
        <v>drama</v>
      </c>
      <c r="S198" s="9">
        <f t="shared" si="22"/>
        <v>42259.334467592591</v>
      </c>
      <c r="T198" s="9">
        <f t="shared" si="23"/>
        <v>42287.666666666664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0"/>
        <v>0.1048</v>
      </c>
      <c r="P199">
        <f t="shared" si="21"/>
        <v>1381</v>
      </c>
      <c r="Q199" t="str">
        <f t="shared" si="18"/>
        <v>film &amp; video</v>
      </c>
      <c r="R199" t="str">
        <f t="shared" si="19"/>
        <v>drama</v>
      </c>
      <c r="S199" s="9">
        <f t="shared" si="22"/>
        <v>42741.640046296299</v>
      </c>
      <c r="T199" s="9">
        <f t="shared" si="23"/>
        <v>42783.666666666664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0"/>
        <v>1.116E-2</v>
      </c>
      <c r="P200">
        <f t="shared" si="21"/>
        <v>12639.5</v>
      </c>
      <c r="Q200" t="str">
        <f t="shared" si="18"/>
        <v>film &amp; video</v>
      </c>
      <c r="R200" t="str">
        <f t="shared" si="19"/>
        <v>drama</v>
      </c>
      <c r="S200" s="9">
        <f t="shared" si="22"/>
        <v>41887.175023148149</v>
      </c>
      <c r="T200" s="9">
        <f t="shared" si="23"/>
        <v>41917.175023148149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0"/>
        <v>0</v>
      </c>
      <c r="P201">
        <f t="shared" si="21"/>
        <v>5000</v>
      </c>
      <c r="Q201" t="str">
        <f t="shared" si="18"/>
        <v>film &amp; video</v>
      </c>
      <c r="R201" t="str">
        <f t="shared" si="19"/>
        <v>drama</v>
      </c>
      <c r="S201" s="9">
        <f t="shared" si="22"/>
        <v>42583.915532407402</v>
      </c>
      <c r="T201" s="9">
        <f t="shared" si="23"/>
        <v>42613.915532407402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0"/>
        <v>0.26192500000000002</v>
      </c>
      <c r="P202">
        <f t="shared" si="21"/>
        <v>3785.7750000000001</v>
      </c>
      <c r="Q202" t="str">
        <f t="shared" si="18"/>
        <v>film &amp; video</v>
      </c>
      <c r="R202" t="str">
        <f t="shared" si="19"/>
        <v>drama</v>
      </c>
      <c r="S202" s="9">
        <f t="shared" si="22"/>
        <v>41866.875034722216</v>
      </c>
      <c r="T202" s="9">
        <f t="shared" si="23"/>
        <v>41896.875034722216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0"/>
        <v>0.58461538461538465</v>
      </c>
      <c r="P203">
        <f t="shared" si="21"/>
        <v>515</v>
      </c>
      <c r="Q203" t="str">
        <f t="shared" si="18"/>
        <v>film &amp; video</v>
      </c>
      <c r="R203" t="str">
        <f t="shared" si="19"/>
        <v>drama</v>
      </c>
      <c r="S203" s="9">
        <f t="shared" si="22"/>
        <v>42023.610289351847</v>
      </c>
      <c r="T203" s="9">
        <f t="shared" si="23"/>
        <v>42043.610289351847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0"/>
        <v>0</v>
      </c>
      <c r="P204">
        <f t="shared" si="21"/>
        <v>3000</v>
      </c>
      <c r="Q204" t="str">
        <f t="shared" si="18"/>
        <v>film &amp; video</v>
      </c>
      <c r="R204" t="str">
        <f t="shared" si="19"/>
        <v>drama</v>
      </c>
      <c r="S204" s="9">
        <f t="shared" si="22"/>
        <v>42255.719490740739</v>
      </c>
      <c r="T204" s="9">
        <f t="shared" si="23"/>
        <v>42285.665972222218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0"/>
        <v>0.2984</v>
      </c>
      <c r="P205">
        <f t="shared" si="21"/>
        <v>1623</v>
      </c>
      <c r="Q205" t="str">
        <f t="shared" si="18"/>
        <v>film &amp; video</v>
      </c>
      <c r="R205" t="str">
        <f t="shared" si="19"/>
        <v>drama</v>
      </c>
      <c r="S205" s="9">
        <f t="shared" si="22"/>
        <v>41973.639629629623</v>
      </c>
      <c r="T205" s="9">
        <f t="shared" si="23"/>
        <v>42033.639629629623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0"/>
        <v>0.50721666666666665</v>
      </c>
      <c r="P206">
        <f t="shared" si="21"/>
        <v>226082.5</v>
      </c>
      <c r="Q206" t="str">
        <f t="shared" si="18"/>
        <v>film &amp; video</v>
      </c>
      <c r="R206" t="str">
        <f t="shared" si="19"/>
        <v>drama</v>
      </c>
      <c r="S206" s="9">
        <f t="shared" si="22"/>
        <v>42556.375034722216</v>
      </c>
      <c r="T206" s="9">
        <f t="shared" si="23"/>
        <v>42586.375034722216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0"/>
        <v>0.16250000000000001</v>
      </c>
      <c r="P207">
        <f t="shared" si="21"/>
        <v>4650</v>
      </c>
      <c r="Q207" t="str">
        <f t="shared" si="18"/>
        <v>film &amp; video</v>
      </c>
      <c r="R207" t="str">
        <f t="shared" si="19"/>
        <v>drama</v>
      </c>
      <c r="S207" s="9">
        <f t="shared" si="22"/>
        <v>42248.423865740733</v>
      </c>
      <c r="T207" s="9">
        <f t="shared" si="23"/>
        <v>42283.423865740733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0"/>
        <v>0</v>
      </c>
      <c r="P208">
        <f t="shared" si="21"/>
        <v>6350</v>
      </c>
      <c r="Q208" t="str">
        <f t="shared" si="18"/>
        <v>film &amp; video</v>
      </c>
      <c r="R208" t="str">
        <f t="shared" si="19"/>
        <v>drama</v>
      </c>
      <c r="S208" s="9">
        <f t="shared" si="22"/>
        <v>42566.79609953703</v>
      </c>
      <c r="T208" s="9">
        <f t="shared" si="23"/>
        <v>42587.79609953703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0"/>
        <v>0.15214285714285714</v>
      </c>
      <c r="P209">
        <f t="shared" si="21"/>
        <v>8065</v>
      </c>
      <c r="Q209" t="str">
        <f t="shared" si="18"/>
        <v>film &amp; video</v>
      </c>
      <c r="R209" t="str">
        <f t="shared" si="19"/>
        <v>drama</v>
      </c>
      <c r="S209" s="9">
        <f t="shared" si="22"/>
        <v>41977.988865740735</v>
      </c>
      <c r="T209" s="9">
        <f t="shared" si="23"/>
        <v>42007.988865740735</v>
      </c>
    </row>
    <row r="210" spans="1:20" ht="43.5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0"/>
        <v>0</v>
      </c>
      <c r="P210">
        <f t="shared" si="21"/>
        <v>25000</v>
      </c>
      <c r="Q210" t="str">
        <f t="shared" si="18"/>
        <v>film &amp; video</v>
      </c>
      <c r="R210" t="str">
        <f t="shared" si="19"/>
        <v>drama</v>
      </c>
      <c r="S210" s="9">
        <f t="shared" si="22"/>
        <v>41959.16165509259</v>
      </c>
      <c r="T210" s="9">
        <f t="shared" si="23"/>
        <v>41989.16165509259</v>
      </c>
    </row>
    <row r="211" spans="1:20" ht="43.5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0"/>
        <v>0</v>
      </c>
      <c r="P211">
        <f t="shared" si="21"/>
        <v>12500</v>
      </c>
      <c r="Q211" t="str">
        <f t="shared" si="18"/>
        <v>film &amp; video</v>
      </c>
      <c r="R211" t="str">
        <f t="shared" si="19"/>
        <v>drama</v>
      </c>
      <c r="S211" s="9">
        <f t="shared" si="22"/>
        <v>42165.714525462965</v>
      </c>
      <c r="T211" s="9">
        <f t="shared" si="23"/>
        <v>42195.714525462965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0"/>
        <v>0.2525</v>
      </c>
      <c r="P212">
        <f t="shared" si="21"/>
        <v>7515</v>
      </c>
      <c r="Q212" t="str">
        <f t="shared" si="18"/>
        <v>film &amp; video</v>
      </c>
      <c r="R212" t="str">
        <f t="shared" si="19"/>
        <v>drama</v>
      </c>
      <c r="S212" s="9">
        <f t="shared" si="22"/>
        <v>42248.856388888882</v>
      </c>
      <c r="T212" s="9">
        <f t="shared" si="23"/>
        <v>42277.999999999993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0"/>
        <v>0.44600000000000001</v>
      </c>
      <c r="P213">
        <f t="shared" si="21"/>
        <v>3615</v>
      </c>
      <c r="Q213" t="str">
        <f t="shared" si="18"/>
        <v>film &amp; video</v>
      </c>
      <c r="R213" t="str">
        <f t="shared" si="19"/>
        <v>drama</v>
      </c>
      <c r="S213" s="9">
        <f t="shared" si="22"/>
        <v>42235.951585648145</v>
      </c>
      <c r="T213" s="9">
        <f t="shared" si="23"/>
        <v>42265.951585648145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0"/>
        <v>1.5873015873015873E-4</v>
      </c>
      <c r="P214">
        <f t="shared" si="21"/>
        <v>3150.5</v>
      </c>
      <c r="Q214" t="str">
        <f t="shared" si="18"/>
        <v>film &amp; video</v>
      </c>
      <c r="R214" t="str">
        <f t="shared" si="19"/>
        <v>drama</v>
      </c>
      <c r="S214" s="9">
        <f t="shared" si="22"/>
        <v>42416.672685185178</v>
      </c>
      <c r="T214" s="9">
        <f t="shared" si="23"/>
        <v>42476.631018518521</v>
      </c>
    </row>
    <row r="215" spans="1:20" ht="29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0"/>
        <v>4.0000000000000002E-4</v>
      </c>
      <c r="P215">
        <f t="shared" si="21"/>
        <v>25010</v>
      </c>
      <c r="Q215" t="str">
        <f t="shared" si="18"/>
        <v>film &amp; video</v>
      </c>
      <c r="R215" t="str">
        <f t="shared" si="19"/>
        <v>drama</v>
      </c>
      <c r="S215" s="9">
        <f t="shared" si="22"/>
        <v>42202.385960648149</v>
      </c>
      <c r="T215" s="9">
        <f t="shared" si="23"/>
        <v>42232.379641203697</v>
      </c>
    </row>
    <row r="216" spans="1:20" ht="43.5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0"/>
        <v>8.0000000000000007E-5</v>
      </c>
      <c r="P216">
        <f t="shared" si="21"/>
        <v>6250.5</v>
      </c>
      <c r="Q216" t="str">
        <f t="shared" si="18"/>
        <v>film &amp; video</v>
      </c>
      <c r="R216" t="str">
        <f t="shared" si="19"/>
        <v>drama</v>
      </c>
      <c r="S216" s="9">
        <f t="shared" si="22"/>
        <v>42009.432280092595</v>
      </c>
      <c r="T216" s="9">
        <f t="shared" si="23"/>
        <v>42069.432280092595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0"/>
        <v>2.2727272727272726E-3</v>
      </c>
      <c r="P217">
        <f t="shared" si="21"/>
        <v>2205</v>
      </c>
      <c r="Q217" t="str">
        <f t="shared" si="18"/>
        <v>film &amp; video</v>
      </c>
      <c r="R217" t="str">
        <f t="shared" si="19"/>
        <v>drama</v>
      </c>
      <c r="S217" s="9">
        <f t="shared" si="22"/>
        <v>42375.021782407406</v>
      </c>
      <c r="T217" s="9">
        <f t="shared" si="23"/>
        <v>42417.790972222218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0"/>
        <v>0.55698440000000005</v>
      </c>
      <c r="P218">
        <f t="shared" si="21"/>
        <v>38924.61</v>
      </c>
      <c r="Q218" t="str">
        <f t="shared" si="18"/>
        <v>film &amp; video</v>
      </c>
      <c r="R218" t="str">
        <f t="shared" si="19"/>
        <v>drama</v>
      </c>
      <c r="S218" s="9">
        <f t="shared" si="22"/>
        <v>42066.750428240739</v>
      </c>
      <c r="T218" s="9">
        <f t="shared" si="23"/>
        <v>42116.708761574067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0"/>
        <v>0.11942999999999999</v>
      </c>
      <c r="P219">
        <f t="shared" si="21"/>
        <v>55971.5</v>
      </c>
      <c r="Q219" t="str">
        <f t="shared" si="18"/>
        <v>film &amp; video</v>
      </c>
      <c r="R219" t="str">
        <f t="shared" si="19"/>
        <v>drama</v>
      </c>
      <c r="S219" s="9">
        <f t="shared" si="22"/>
        <v>41970.432280092595</v>
      </c>
      <c r="T219" s="9">
        <f t="shared" si="23"/>
        <v>42001.432280092595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0"/>
        <v>0.02</v>
      </c>
      <c r="P220">
        <f t="shared" si="21"/>
        <v>2550</v>
      </c>
      <c r="Q220" t="str">
        <f t="shared" si="18"/>
        <v>film &amp; video</v>
      </c>
      <c r="R220" t="str">
        <f t="shared" si="19"/>
        <v>drama</v>
      </c>
      <c r="S220" s="9">
        <f t="shared" si="22"/>
        <v>42079.420011574075</v>
      </c>
      <c r="T220" s="9">
        <f t="shared" si="23"/>
        <v>42139.420011574075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0"/>
        <v>0.17630000000000001</v>
      </c>
      <c r="P221">
        <f t="shared" si="21"/>
        <v>29407.5</v>
      </c>
      <c r="Q221" t="str">
        <f t="shared" si="18"/>
        <v>film &amp; video</v>
      </c>
      <c r="R221" t="str">
        <f t="shared" si="19"/>
        <v>drama</v>
      </c>
      <c r="S221" s="9">
        <f t="shared" si="22"/>
        <v>42429.118344907409</v>
      </c>
      <c r="T221" s="9">
        <f t="shared" si="23"/>
        <v>42461.082638888889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0"/>
        <v>7.1999999999999998E-3</v>
      </c>
      <c r="P222">
        <f t="shared" si="21"/>
        <v>25180</v>
      </c>
      <c r="Q222" t="str">
        <f t="shared" si="18"/>
        <v>film &amp; video</v>
      </c>
      <c r="R222" t="str">
        <f t="shared" si="19"/>
        <v>drama</v>
      </c>
      <c r="S222" s="9">
        <f t="shared" si="22"/>
        <v>42195.435532407406</v>
      </c>
      <c r="T222" s="9">
        <f t="shared" si="23"/>
        <v>42236.629166666666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0"/>
        <v>0</v>
      </c>
      <c r="P223">
        <f t="shared" si="21"/>
        <v>25000</v>
      </c>
      <c r="Q223" t="str">
        <f t="shared" si="18"/>
        <v>film &amp; video</v>
      </c>
      <c r="R223" t="str">
        <f t="shared" si="19"/>
        <v>drama</v>
      </c>
      <c r="S223" s="9">
        <f t="shared" si="22"/>
        <v>42031.629212962966</v>
      </c>
      <c r="T223" s="9">
        <f t="shared" si="23"/>
        <v>42091.587546296294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0"/>
        <v>0.13</v>
      </c>
      <c r="P224">
        <f t="shared" si="21"/>
        <v>565</v>
      </c>
      <c r="Q224" t="str">
        <f t="shared" si="18"/>
        <v>film &amp; video</v>
      </c>
      <c r="R224" t="str">
        <f t="shared" si="19"/>
        <v>drama</v>
      </c>
      <c r="S224" s="9">
        <f t="shared" si="22"/>
        <v>42031.561550925922</v>
      </c>
      <c r="T224" s="9">
        <f t="shared" si="23"/>
        <v>42089.902083333327</v>
      </c>
    </row>
    <row r="225" spans="1:20" ht="43.5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0"/>
        <v>0</v>
      </c>
      <c r="P225">
        <f t="shared" si="21"/>
        <v>750000</v>
      </c>
      <c r="Q225" t="str">
        <f t="shared" si="18"/>
        <v>film &amp; video</v>
      </c>
      <c r="R225" t="str">
        <f t="shared" si="19"/>
        <v>drama</v>
      </c>
      <c r="S225" s="9">
        <f t="shared" si="22"/>
        <v>42481.839699074073</v>
      </c>
      <c r="T225" s="9">
        <f t="shared" si="23"/>
        <v>42511.836805555555</v>
      </c>
    </row>
    <row r="226" spans="1:20" ht="43.5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0"/>
        <v>0</v>
      </c>
      <c r="P226">
        <f t="shared" si="21"/>
        <v>3000000</v>
      </c>
      <c r="Q226" t="str">
        <f t="shared" si="18"/>
        <v>film &amp; video</v>
      </c>
      <c r="R226" t="str">
        <f t="shared" si="19"/>
        <v>drama</v>
      </c>
      <c r="S226" s="9">
        <f t="shared" si="22"/>
        <v>42135.026921296296</v>
      </c>
      <c r="T226" s="9">
        <f t="shared" si="23"/>
        <v>42195.026921296296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0"/>
        <v>0</v>
      </c>
      <c r="P227">
        <f t="shared" si="21"/>
        <v>100</v>
      </c>
      <c r="Q227" t="str">
        <f t="shared" si="18"/>
        <v>film &amp; video</v>
      </c>
      <c r="R227" t="str">
        <f t="shared" si="19"/>
        <v>drama</v>
      </c>
      <c r="S227" s="9">
        <f t="shared" si="22"/>
        <v>42438.752939814811</v>
      </c>
      <c r="T227" s="9">
        <f t="shared" si="23"/>
        <v>42468.711273148147</v>
      </c>
    </row>
    <row r="228" spans="1:20" ht="29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0"/>
        <v>8.6206896551724137E-3</v>
      </c>
      <c r="P228">
        <f t="shared" si="21"/>
        <v>14625</v>
      </c>
      <c r="Q228" t="str">
        <f t="shared" ref="Q228:Q240" si="24">IF(N228="film &amp; video/drama","film &amp; video")</f>
        <v>film &amp; video</v>
      </c>
      <c r="R228" t="str">
        <f t="shared" ref="R228:R240" si="25">IF(N228="film &amp; video/drama","drama")</f>
        <v>drama</v>
      </c>
      <c r="S228" s="9">
        <f t="shared" si="22"/>
        <v>42106.457685185182</v>
      </c>
      <c r="T228" s="9">
        <f t="shared" si="23"/>
        <v>42155.186805555553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0"/>
        <v>0</v>
      </c>
      <c r="P229">
        <f t="shared" si="21"/>
        <v>14000</v>
      </c>
      <c r="Q229" t="str">
        <f t="shared" si="24"/>
        <v>film &amp; video</v>
      </c>
      <c r="R229" t="str">
        <f t="shared" si="25"/>
        <v>drama</v>
      </c>
      <c r="S229" s="9">
        <f t="shared" si="22"/>
        <v>42164.685659722221</v>
      </c>
      <c r="T229" s="9">
        <f t="shared" si="23"/>
        <v>42194.685659722221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0"/>
        <v>0</v>
      </c>
      <c r="P230">
        <f t="shared" si="21"/>
        <v>4000</v>
      </c>
      <c r="Q230" t="str">
        <f t="shared" si="24"/>
        <v>film &amp; video</v>
      </c>
      <c r="R230" t="str">
        <f t="shared" si="25"/>
        <v>drama</v>
      </c>
      <c r="S230" s="9">
        <f t="shared" si="22"/>
        <v>42096.478067129625</v>
      </c>
      <c r="T230" s="9">
        <f t="shared" si="23"/>
        <v>42156.478067129625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0"/>
        <v>0</v>
      </c>
      <c r="P231">
        <f t="shared" si="21"/>
        <v>1500</v>
      </c>
      <c r="Q231" t="str">
        <f t="shared" si="24"/>
        <v>film &amp; video</v>
      </c>
      <c r="R231" t="str">
        <f t="shared" si="25"/>
        <v>drama</v>
      </c>
      <c r="S231" s="9">
        <f t="shared" si="22"/>
        <v>42383.725659722222</v>
      </c>
      <c r="T231" s="9">
        <f t="shared" si="23"/>
        <v>42413.725659722222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0"/>
        <v>4.0000000000000001E-3</v>
      </c>
      <c r="P232">
        <f t="shared" si="21"/>
        <v>7530</v>
      </c>
      <c r="Q232" t="str">
        <f t="shared" si="24"/>
        <v>film &amp; video</v>
      </c>
      <c r="R232" t="str">
        <f t="shared" si="25"/>
        <v>drama</v>
      </c>
      <c r="S232" s="9">
        <f t="shared" si="22"/>
        <v>42129.568877314814</v>
      </c>
      <c r="T232" s="9">
        <f t="shared" si="23"/>
        <v>42159.568877314814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0"/>
        <v>0</v>
      </c>
      <c r="P233">
        <f t="shared" si="21"/>
        <v>750000</v>
      </c>
      <c r="Q233" t="str">
        <f t="shared" si="24"/>
        <v>film &amp; video</v>
      </c>
      <c r="R233" t="str">
        <f t="shared" si="25"/>
        <v>drama</v>
      </c>
      <c r="S233" s="9">
        <f t="shared" si="22"/>
        <v>42341.75059027777</v>
      </c>
      <c r="T233" s="9">
        <f t="shared" si="23"/>
        <v>42371.75059027777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0"/>
        <v>2.75E-2</v>
      </c>
      <c r="P234">
        <f t="shared" si="21"/>
        <v>2055</v>
      </c>
      <c r="Q234" t="str">
        <f t="shared" si="24"/>
        <v>film &amp; video</v>
      </c>
      <c r="R234" t="str">
        <f t="shared" si="25"/>
        <v>drama</v>
      </c>
      <c r="S234" s="9">
        <f t="shared" si="22"/>
        <v>42032.617430555554</v>
      </c>
      <c r="T234" s="9">
        <f t="shared" si="23"/>
        <v>42062.617430555554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0"/>
        <v>0</v>
      </c>
      <c r="P235">
        <f t="shared" si="21"/>
        <v>175000</v>
      </c>
      <c r="Q235" t="str">
        <f t="shared" si="24"/>
        <v>film &amp; video</v>
      </c>
      <c r="R235" t="str">
        <f t="shared" si="25"/>
        <v>drama</v>
      </c>
      <c r="S235" s="9">
        <f t="shared" si="22"/>
        <v>42612.703379629624</v>
      </c>
      <c r="T235" s="9">
        <f t="shared" si="23"/>
        <v>42642.703379629624</v>
      </c>
    </row>
    <row r="236" spans="1:20" ht="43.5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0"/>
        <v>0.40100000000000002</v>
      </c>
      <c r="P236">
        <f t="shared" si="21"/>
        <v>700.5</v>
      </c>
      <c r="Q236" t="str">
        <f t="shared" si="24"/>
        <v>film &amp; video</v>
      </c>
      <c r="R236" t="str">
        <f t="shared" si="25"/>
        <v>drama</v>
      </c>
      <c r="S236" s="9">
        <f t="shared" si="22"/>
        <v>42135.82707175926</v>
      </c>
      <c r="T236" s="9">
        <f t="shared" si="23"/>
        <v>42175.82707175926</v>
      </c>
    </row>
    <row r="237" spans="1:20" ht="29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0"/>
        <v>0</v>
      </c>
      <c r="P237">
        <f t="shared" si="21"/>
        <v>5000</v>
      </c>
      <c r="Q237" t="str">
        <f t="shared" si="24"/>
        <v>film &amp; video</v>
      </c>
      <c r="R237" t="str">
        <f t="shared" si="25"/>
        <v>drama</v>
      </c>
      <c r="S237" s="9">
        <f t="shared" si="22"/>
        <v>42164.700196759259</v>
      </c>
      <c r="T237" s="9">
        <f t="shared" si="23"/>
        <v>42194.700196759259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0"/>
        <v>0</v>
      </c>
      <c r="P238">
        <f t="shared" si="21"/>
        <v>75000</v>
      </c>
      <c r="Q238" t="str">
        <f t="shared" si="24"/>
        <v>film &amp; video</v>
      </c>
      <c r="R238" t="str">
        <f t="shared" si="25"/>
        <v>drama</v>
      </c>
      <c r="S238" s="9">
        <f t="shared" si="22"/>
        <v>42320.876145833332</v>
      </c>
      <c r="T238" s="9">
        <f t="shared" si="23"/>
        <v>42373.791666666664</v>
      </c>
    </row>
    <row r="239" spans="1:20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0"/>
        <v>3.3333333333333335E-3</v>
      </c>
      <c r="P239">
        <f t="shared" si="21"/>
        <v>7525</v>
      </c>
      <c r="Q239" t="str">
        <f t="shared" si="24"/>
        <v>film &amp; video</v>
      </c>
      <c r="R239" t="str">
        <f t="shared" si="25"/>
        <v>drama</v>
      </c>
      <c r="S239" s="9">
        <f t="shared" si="22"/>
        <v>42377.368854166663</v>
      </c>
      <c r="T239" s="9">
        <f t="shared" si="23"/>
        <v>42437.368854166663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0"/>
        <v>0</v>
      </c>
      <c r="P240">
        <f t="shared" si="21"/>
        <v>13000</v>
      </c>
      <c r="Q240" t="str">
        <f t="shared" si="24"/>
        <v>film &amp; video</v>
      </c>
      <c r="R240" t="str">
        <f t="shared" si="25"/>
        <v>drama</v>
      </c>
      <c r="S240" s="9">
        <f t="shared" si="22"/>
        <v>42713.754166666666</v>
      </c>
      <c r="T240" s="9">
        <f t="shared" si="23"/>
        <v>42734.166666666664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0"/>
        <v>0.25</v>
      </c>
      <c r="P241">
        <f t="shared" si="21"/>
        <v>625</v>
      </c>
      <c r="Q241" t="str">
        <f>IF(N241="film &amp; video/drama","film &amp; video")</f>
        <v>film &amp; video</v>
      </c>
      <c r="R241" t="str">
        <f>IF(N241="film &amp; video/drama","drama")</f>
        <v>drama</v>
      </c>
      <c r="S241" s="9">
        <f t="shared" si="22"/>
        <v>42296.901967592588</v>
      </c>
      <c r="T241" s="9">
        <f t="shared" si="23"/>
        <v>42316.291666666664</v>
      </c>
    </row>
    <row r="242" spans="1:20" ht="43.5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0"/>
        <v>1.0763413333333334</v>
      </c>
      <c r="P242">
        <f t="shared" si="21"/>
        <v>15572.560000000001</v>
      </c>
      <c r="Q242" t="str">
        <f>IF(N242="film &amp; video/documentary","film &amp; video")</f>
        <v>film &amp; video</v>
      </c>
      <c r="R242" t="str">
        <f>IF(N242="film &amp; video/documentary","documentary")</f>
        <v>documentary</v>
      </c>
      <c r="S242" s="9">
        <f t="shared" si="22"/>
        <v>41354.500127314815</v>
      </c>
      <c r="T242" s="9">
        <f t="shared" si="23"/>
        <v>41399.500127314815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0"/>
        <v>1.1263736263736264</v>
      </c>
      <c r="P243">
        <f t="shared" si="21"/>
        <v>38700</v>
      </c>
      <c r="Q243" t="str">
        <f>IF(N243="film &amp; video/documentary","film &amp; video")</f>
        <v>film &amp; video</v>
      </c>
      <c r="R243" t="str">
        <f>IF(N243="film &amp; video/documentary","documentary")</f>
        <v>documentary</v>
      </c>
      <c r="S243" s="9">
        <f t="shared" si="22"/>
        <v>41949.489629629628</v>
      </c>
      <c r="T243" s="9">
        <f t="shared" si="23"/>
        <v>41994.489629629628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0"/>
        <v>1.1346153846153846</v>
      </c>
      <c r="P244">
        <f t="shared" si="21"/>
        <v>13875</v>
      </c>
      <c r="Q244" t="str">
        <f t="shared" ref="Q244:Q307" si="26">IF(N244="film &amp; video/documentary","film &amp; video")</f>
        <v>film &amp; video</v>
      </c>
      <c r="R244" t="str">
        <f t="shared" ref="R244:R307" si="27">IF(N244="film &amp; video/documentary","documentary")</f>
        <v>documentary</v>
      </c>
      <c r="S244" s="9">
        <f t="shared" si="22"/>
        <v>40862.28460648148</v>
      </c>
      <c r="T244" s="9">
        <f t="shared" si="23"/>
        <v>40897.28460648148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0"/>
        <v>1.0259199999999999</v>
      </c>
      <c r="P245">
        <f t="shared" si="21"/>
        <v>25324</v>
      </c>
      <c r="Q245" t="str">
        <f t="shared" si="26"/>
        <v>film &amp; video</v>
      </c>
      <c r="R245" t="str">
        <f t="shared" si="27"/>
        <v>documentary</v>
      </c>
      <c r="S245" s="9">
        <f t="shared" si="22"/>
        <v>41661.839166666665</v>
      </c>
      <c r="T245" s="9">
        <f t="shared" si="23"/>
        <v>41691.839166666665</v>
      </c>
    </row>
    <row r="246" spans="1:20" ht="43.5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0"/>
        <v>1.1375714285714287</v>
      </c>
      <c r="P246">
        <f t="shared" si="21"/>
        <v>3740.75</v>
      </c>
      <c r="Q246" t="str">
        <f t="shared" si="26"/>
        <v>film &amp; video</v>
      </c>
      <c r="R246" t="str">
        <f t="shared" si="27"/>
        <v>documentary</v>
      </c>
      <c r="S246" s="9">
        <f t="shared" si="22"/>
        <v>40213.115266203698</v>
      </c>
      <c r="T246" s="9">
        <f t="shared" si="23"/>
        <v>40253.087500000001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0"/>
        <v>1.0371999999999999</v>
      </c>
      <c r="P247">
        <f t="shared" si="21"/>
        <v>5093</v>
      </c>
      <c r="Q247" t="str">
        <f t="shared" si="26"/>
        <v>film &amp; video</v>
      </c>
      <c r="R247" t="str">
        <f t="shared" si="27"/>
        <v>documentary</v>
      </c>
      <c r="S247" s="9">
        <f t="shared" si="22"/>
        <v>41106.844733796293</v>
      </c>
      <c r="T247" s="9">
        <f t="shared" si="23"/>
        <v>41136.844733796293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0"/>
        <v>3.0546000000000002</v>
      </c>
      <c r="P248">
        <f t="shared" si="21"/>
        <v>10136.5</v>
      </c>
      <c r="Q248" t="str">
        <f t="shared" si="26"/>
        <v>film &amp; video</v>
      </c>
      <c r="R248" t="str">
        <f t="shared" si="27"/>
        <v>documentary</v>
      </c>
      <c r="S248" s="9">
        <f t="shared" si="22"/>
        <v>40480.155150462961</v>
      </c>
      <c r="T248" s="9">
        <f t="shared" si="23"/>
        <v>40530.196817129625</v>
      </c>
    </row>
    <row r="249" spans="1:20" ht="43.5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0"/>
        <v>1.341</v>
      </c>
      <c r="P249">
        <f t="shared" si="21"/>
        <v>5852.5</v>
      </c>
      <c r="Q249" t="str">
        <f t="shared" si="26"/>
        <v>film &amp; video</v>
      </c>
      <c r="R249" t="str">
        <f t="shared" si="27"/>
        <v>documentary</v>
      </c>
      <c r="S249" s="9">
        <f t="shared" si="22"/>
        <v>40430.395995370367</v>
      </c>
      <c r="T249" s="9">
        <f t="shared" si="23"/>
        <v>40466.943749999999</v>
      </c>
    </row>
    <row r="250" spans="1:20" ht="43.5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0"/>
        <v>1.0133294117647058</v>
      </c>
      <c r="P250">
        <f t="shared" si="21"/>
        <v>85566.5</v>
      </c>
      <c r="Q250" t="str">
        <f t="shared" si="26"/>
        <v>film &amp; video</v>
      </c>
      <c r="R250" t="str">
        <f t="shared" si="27"/>
        <v>documentary</v>
      </c>
      <c r="S250" s="9">
        <f t="shared" si="22"/>
        <v>40870.566076388888</v>
      </c>
      <c r="T250" s="9">
        <f t="shared" si="23"/>
        <v>40915.566076388888</v>
      </c>
    </row>
    <row r="251" spans="1:20" ht="43.5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0"/>
        <v>1.1292</v>
      </c>
      <c r="P251">
        <f t="shared" si="21"/>
        <v>10646</v>
      </c>
      <c r="Q251" t="str">
        <f t="shared" si="26"/>
        <v>film &amp; video</v>
      </c>
      <c r="R251" t="str">
        <f t="shared" si="27"/>
        <v>documentary</v>
      </c>
      <c r="S251" s="9">
        <f t="shared" si="22"/>
        <v>40332.715509259258</v>
      </c>
      <c r="T251" s="9">
        <f t="shared" si="23"/>
        <v>40412.527777777774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0"/>
        <v>1.0558333333333334</v>
      </c>
      <c r="P252">
        <f t="shared" si="21"/>
        <v>30837.5</v>
      </c>
      <c r="Q252" t="str">
        <f t="shared" si="26"/>
        <v>film &amp; video</v>
      </c>
      <c r="R252" t="str">
        <f t="shared" si="27"/>
        <v>documentary</v>
      </c>
      <c r="S252" s="9">
        <f t="shared" si="22"/>
        <v>41401.357534722221</v>
      </c>
      <c r="T252" s="9">
        <f t="shared" si="23"/>
        <v>41431.357534722221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0"/>
        <v>1.2557142857142858</v>
      </c>
      <c r="P253">
        <f t="shared" si="21"/>
        <v>3947.5</v>
      </c>
      <c r="Q253" t="str">
        <f t="shared" si="26"/>
        <v>film &amp; video</v>
      </c>
      <c r="R253" t="str">
        <f t="shared" si="27"/>
        <v>documentary</v>
      </c>
      <c r="S253" s="9">
        <f t="shared" si="22"/>
        <v>41013.579236111109</v>
      </c>
      <c r="T253" s="9">
        <f t="shared" si="23"/>
        <v>41045.583333333328</v>
      </c>
    </row>
    <row r="254" spans="1:20" ht="29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0"/>
        <v>1.8455999999999999</v>
      </c>
      <c r="P254">
        <f t="shared" si="21"/>
        <v>7114</v>
      </c>
      <c r="Q254" t="str">
        <f t="shared" si="26"/>
        <v>film &amp; video</v>
      </c>
      <c r="R254" t="str">
        <f t="shared" si="27"/>
        <v>documentary</v>
      </c>
      <c r="S254" s="9">
        <f t="shared" si="22"/>
        <v>40266.454374999994</v>
      </c>
      <c r="T254" s="9">
        <f t="shared" si="23"/>
        <v>40329.957638888889</v>
      </c>
    </row>
    <row r="255" spans="1:20" ht="43.5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0"/>
        <v>1.0073333333333334</v>
      </c>
      <c r="P255">
        <f t="shared" si="21"/>
        <v>1505.5</v>
      </c>
      <c r="Q255" t="str">
        <f t="shared" si="26"/>
        <v>film &amp; video</v>
      </c>
      <c r="R255" t="str">
        <f t="shared" si="27"/>
        <v>documentary</v>
      </c>
      <c r="S255" s="9">
        <f t="shared" si="22"/>
        <v>40924.44253472222</v>
      </c>
      <c r="T255" s="9">
        <f t="shared" si="23"/>
        <v>40954.44253472222</v>
      </c>
    </row>
    <row r="256" spans="1:20" ht="29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0"/>
        <v>1.1694724999999999</v>
      </c>
      <c r="P256">
        <f t="shared" si="21"/>
        <v>26033.67</v>
      </c>
      <c r="Q256" t="str">
        <f t="shared" si="26"/>
        <v>film &amp; video</v>
      </c>
      <c r="R256" t="str">
        <f t="shared" si="27"/>
        <v>documentary</v>
      </c>
      <c r="S256" s="9">
        <f t="shared" si="22"/>
        <v>42263.744328703702</v>
      </c>
      <c r="T256" s="9">
        <f t="shared" si="23"/>
        <v>42293.874999999993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0"/>
        <v>1.0673325</v>
      </c>
      <c r="P257">
        <f t="shared" si="21"/>
        <v>8269.33</v>
      </c>
      <c r="Q257" t="str">
        <f t="shared" si="26"/>
        <v>film &amp; video</v>
      </c>
      <c r="R257" t="str">
        <f t="shared" si="27"/>
        <v>documentary</v>
      </c>
      <c r="S257" s="9">
        <f t="shared" si="22"/>
        <v>40588.318078703705</v>
      </c>
      <c r="T257" s="9">
        <f t="shared" si="23"/>
        <v>40618.276412037034</v>
      </c>
    </row>
    <row r="258" spans="1:20" ht="43.5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0"/>
        <v>1.391</v>
      </c>
      <c r="P258">
        <f t="shared" si="21"/>
        <v>15541.5</v>
      </c>
      <c r="Q258" t="str">
        <f t="shared" si="26"/>
        <v>film &amp; video</v>
      </c>
      <c r="R258" t="str">
        <f t="shared" si="27"/>
        <v>documentary</v>
      </c>
      <c r="S258" s="9">
        <f t="shared" si="22"/>
        <v>41319.560960648145</v>
      </c>
      <c r="T258" s="9">
        <f t="shared" si="23"/>
        <v>41349.560960648145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8">E259/D259</f>
        <v>1.0672648571428571</v>
      </c>
      <c r="P259">
        <f t="shared" ref="P259:P322" si="29">AVERAGE(D259:E259)</f>
        <v>36177.134999999995</v>
      </c>
      <c r="Q259" t="str">
        <f t="shared" si="26"/>
        <v>film &amp; video</v>
      </c>
      <c r="R259" t="str">
        <f t="shared" si="27"/>
        <v>documentary</v>
      </c>
      <c r="S259" s="9">
        <f t="shared" ref="S259:S322" si="30">J259/86400+25569+(-5/24)</f>
        <v>42479.418541666666</v>
      </c>
      <c r="T259" s="9">
        <f t="shared" si="23"/>
        <v>42509.418541666666</v>
      </c>
    </row>
    <row r="260" spans="1:20" ht="43.5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8"/>
        <v>1.9114</v>
      </c>
      <c r="P260">
        <f t="shared" si="29"/>
        <v>43671</v>
      </c>
      <c r="Q260" t="str">
        <f t="shared" si="26"/>
        <v>film &amp; video</v>
      </c>
      <c r="R260" t="str">
        <f t="shared" si="27"/>
        <v>documentary</v>
      </c>
      <c r="S260" s="9">
        <f t="shared" si="30"/>
        <v>40681.843356481477</v>
      </c>
      <c r="T260" s="9">
        <f t="shared" ref="T260:T323" si="31">I260/86400+25569+(-5/24)</f>
        <v>40711.843356481477</v>
      </c>
    </row>
    <row r="261" spans="1:20" ht="43.5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8"/>
        <v>1.3193789333333332</v>
      </c>
      <c r="P261">
        <f t="shared" si="29"/>
        <v>86976.709999999992</v>
      </c>
      <c r="Q261" t="str">
        <f t="shared" si="26"/>
        <v>film &amp; video</v>
      </c>
      <c r="R261" t="str">
        <f t="shared" si="27"/>
        <v>documentary</v>
      </c>
      <c r="S261" s="9">
        <f t="shared" si="30"/>
        <v>42072.529733796291</v>
      </c>
      <c r="T261" s="9">
        <f t="shared" si="31"/>
        <v>42102.529733796291</v>
      </c>
    </row>
    <row r="262" spans="1:20" ht="29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8"/>
        <v>1.0640000000000001</v>
      </c>
      <c r="P262">
        <f t="shared" si="29"/>
        <v>10320</v>
      </c>
      <c r="Q262" t="str">
        <f t="shared" si="26"/>
        <v>film &amp; video</v>
      </c>
      <c r="R262" t="str">
        <f t="shared" si="27"/>
        <v>documentary</v>
      </c>
      <c r="S262" s="9">
        <f t="shared" si="30"/>
        <v>40330.547210648147</v>
      </c>
      <c r="T262" s="9">
        <f t="shared" si="31"/>
        <v>40376.207638888889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8"/>
        <v>1.0740000000000001</v>
      </c>
      <c r="P263">
        <f t="shared" si="29"/>
        <v>20740</v>
      </c>
      <c r="Q263" t="str">
        <f t="shared" si="26"/>
        <v>film &amp; video</v>
      </c>
      <c r="R263" t="str">
        <f t="shared" si="27"/>
        <v>documentary</v>
      </c>
      <c r="S263" s="9">
        <f t="shared" si="30"/>
        <v>41017.677129629628</v>
      </c>
      <c r="T263" s="9">
        <f t="shared" si="31"/>
        <v>41067.413194444445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8"/>
        <v>2.4</v>
      </c>
      <c r="P264">
        <f t="shared" si="29"/>
        <v>4250</v>
      </c>
      <c r="Q264" t="str">
        <f t="shared" si="26"/>
        <v>film &amp; video</v>
      </c>
      <c r="R264" t="str">
        <f t="shared" si="27"/>
        <v>documentary</v>
      </c>
      <c r="S264" s="9">
        <f t="shared" si="30"/>
        <v>40555.039675925924</v>
      </c>
      <c r="T264" s="9">
        <f t="shared" si="31"/>
        <v>40600.039675925924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8"/>
        <v>1.1808107999999999</v>
      </c>
      <c r="P265">
        <f t="shared" si="29"/>
        <v>27260.135000000002</v>
      </c>
      <c r="Q265" t="str">
        <f t="shared" si="26"/>
        <v>film &amp; video</v>
      </c>
      <c r="R265" t="str">
        <f t="shared" si="27"/>
        <v>documentary</v>
      </c>
      <c r="S265" s="9">
        <f t="shared" si="30"/>
        <v>41149.746458333328</v>
      </c>
      <c r="T265" s="9">
        <f t="shared" si="31"/>
        <v>41179.746458333328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8"/>
        <v>1.1819999999999999</v>
      </c>
      <c r="P266">
        <f t="shared" si="29"/>
        <v>5455</v>
      </c>
      <c r="Q266" t="str">
        <f t="shared" si="26"/>
        <v>film &amp; video</v>
      </c>
      <c r="R266" t="str">
        <f t="shared" si="27"/>
        <v>documentary</v>
      </c>
      <c r="S266" s="9">
        <f t="shared" si="30"/>
        <v>41010.411979166667</v>
      </c>
      <c r="T266" s="9">
        <f t="shared" si="31"/>
        <v>41040.411979166667</v>
      </c>
    </row>
    <row r="267" spans="1:20" ht="43.5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8"/>
        <v>1.111</v>
      </c>
      <c r="P267">
        <f t="shared" si="29"/>
        <v>5277.5</v>
      </c>
      <c r="Q267" t="str">
        <f t="shared" si="26"/>
        <v>film &amp; video</v>
      </c>
      <c r="R267" t="str">
        <f t="shared" si="27"/>
        <v>documentary</v>
      </c>
      <c r="S267" s="9">
        <f t="shared" si="30"/>
        <v>40267.03738425926</v>
      </c>
      <c r="T267" s="9">
        <f t="shared" si="31"/>
        <v>40308.636111111111</v>
      </c>
    </row>
    <row r="268" spans="1:20" ht="43.5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8"/>
        <v>1.4550000000000001</v>
      </c>
      <c r="P268">
        <f t="shared" si="29"/>
        <v>1227.5</v>
      </c>
      <c r="Q268" t="str">
        <f t="shared" si="26"/>
        <v>film &amp; video</v>
      </c>
      <c r="R268" t="str">
        <f t="shared" si="27"/>
        <v>documentary</v>
      </c>
      <c r="S268" s="9">
        <f t="shared" si="30"/>
        <v>40204.966516203705</v>
      </c>
      <c r="T268" s="9">
        <f t="shared" si="31"/>
        <v>40290.95208333333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8"/>
        <v>1.3162883248730965</v>
      </c>
      <c r="P269">
        <f t="shared" si="29"/>
        <v>11407.720000000001</v>
      </c>
      <c r="Q269" t="str">
        <f t="shared" si="26"/>
        <v>film &amp; video</v>
      </c>
      <c r="R269" t="str">
        <f t="shared" si="27"/>
        <v>documentary</v>
      </c>
      <c r="S269" s="9">
        <f t="shared" si="30"/>
        <v>41785.244201388887</v>
      </c>
      <c r="T269" s="9">
        <f t="shared" si="31"/>
        <v>41815.244201388887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8"/>
        <v>1.1140000000000001</v>
      </c>
      <c r="P270">
        <f t="shared" si="29"/>
        <v>5285</v>
      </c>
      <c r="Q270" t="str">
        <f t="shared" si="26"/>
        <v>film &amp; video</v>
      </c>
      <c r="R270" t="str">
        <f t="shared" si="27"/>
        <v>documentary</v>
      </c>
      <c r="S270" s="9">
        <f t="shared" si="30"/>
        <v>40808.944189814814</v>
      </c>
      <c r="T270" s="9">
        <f t="shared" si="31"/>
        <v>40853.985856481479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8"/>
        <v>1.4723377</v>
      </c>
      <c r="P271">
        <f t="shared" si="29"/>
        <v>123616.88499999999</v>
      </c>
      <c r="Q271" t="str">
        <f t="shared" si="26"/>
        <v>film &amp; video</v>
      </c>
      <c r="R271" t="str">
        <f t="shared" si="27"/>
        <v>documentary</v>
      </c>
      <c r="S271" s="9">
        <f t="shared" si="30"/>
        <v>42757.988680555551</v>
      </c>
      <c r="T271" s="9">
        <f t="shared" si="31"/>
        <v>42787.988680555551</v>
      </c>
    </row>
    <row r="272" spans="1:20" ht="29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8"/>
        <v>1.5260869565217392</v>
      </c>
      <c r="P272">
        <f t="shared" si="29"/>
        <v>2905</v>
      </c>
      <c r="Q272" t="str">
        <f t="shared" si="26"/>
        <v>film &amp; video</v>
      </c>
      <c r="R272" t="str">
        <f t="shared" si="27"/>
        <v>documentary</v>
      </c>
      <c r="S272" s="9">
        <f t="shared" si="30"/>
        <v>40637.658217592594</v>
      </c>
      <c r="T272" s="9">
        <f t="shared" si="31"/>
        <v>40687.958333333328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8"/>
        <v>1.0468</v>
      </c>
      <c r="P273">
        <f t="shared" si="29"/>
        <v>30702</v>
      </c>
      <c r="Q273" t="str">
        <f t="shared" si="26"/>
        <v>film &amp; video</v>
      </c>
      <c r="R273" t="str">
        <f t="shared" si="27"/>
        <v>documentary</v>
      </c>
      <c r="S273" s="9">
        <f t="shared" si="30"/>
        <v>41611.891909722217</v>
      </c>
      <c r="T273" s="9">
        <f t="shared" si="31"/>
        <v>41641.125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8"/>
        <v>1.7743366666666667</v>
      </c>
      <c r="P274">
        <f t="shared" si="29"/>
        <v>4161.5050000000001</v>
      </c>
      <c r="Q274" t="str">
        <f t="shared" si="26"/>
        <v>film &amp; video</v>
      </c>
      <c r="R274" t="str">
        <f t="shared" si="27"/>
        <v>documentary</v>
      </c>
      <c r="S274" s="9">
        <f t="shared" si="30"/>
        <v>40235.692025462959</v>
      </c>
      <c r="T274" s="9">
        <f t="shared" si="31"/>
        <v>40296.575694444444</v>
      </c>
    </row>
    <row r="275" spans="1:20" ht="43.5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8"/>
        <v>1.077758</v>
      </c>
      <c r="P275">
        <f t="shared" si="29"/>
        <v>5194.3950000000004</v>
      </c>
      <c r="Q275" t="str">
        <f t="shared" si="26"/>
        <v>film &amp; video</v>
      </c>
      <c r="R275" t="str">
        <f t="shared" si="27"/>
        <v>documentary</v>
      </c>
      <c r="S275" s="9">
        <f t="shared" si="30"/>
        <v>40697.29011574074</v>
      </c>
      <c r="T275" s="9">
        <f t="shared" si="31"/>
        <v>40727.29011574074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8"/>
        <v>1.56</v>
      </c>
      <c r="P276">
        <f t="shared" si="29"/>
        <v>5120</v>
      </c>
      <c r="Q276" t="str">
        <f t="shared" si="26"/>
        <v>film &amp; video</v>
      </c>
      <c r="R276" t="str">
        <f t="shared" si="27"/>
        <v>documentary</v>
      </c>
      <c r="S276" s="9">
        <f t="shared" si="30"/>
        <v>40969.704039351847</v>
      </c>
      <c r="T276" s="9">
        <f t="shared" si="31"/>
        <v>41004.082638888889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8"/>
        <v>1.08395</v>
      </c>
      <c r="P277">
        <f t="shared" si="29"/>
        <v>20839.5</v>
      </c>
      <c r="Q277" t="str">
        <f t="shared" si="26"/>
        <v>film &amp; video</v>
      </c>
      <c r="R277" t="str">
        <f t="shared" si="27"/>
        <v>documentary</v>
      </c>
      <c r="S277" s="9">
        <f t="shared" si="30"/>
        <v>41192.823680555557</v>
      </c>
      <c r="T277" s="9">
        <f t="shared" si="31"/>
        <v>41222.865347222221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8"/>
        <v>1.476</v>
      </c>
      <c r="P278">
        <f t="shared" si="29"/>
        <v>4952</v>
      </c>
      <c r="Q278" t="str">
        <f t="shared" si="26"/>
        <v>film &amp; video</v>
      </c>
      <c r="R278" t="str">
        <f t="shared" si="27"/>
        <v>documentary</v>
      </c>
      <c r="S278" s="9">
        <f t="shared" si="30"/>
        <v>40966.873541666668</v>
      </c>
      <c r="T278" s="9">
        <f t="shared" si="31"/>
        <v>41026.831874999996</v>
      </c>
    </row>
    <row r="279" spans="1:20" ht="43.5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8"/>
        <v>1.1038153846153846</v>
      </c>
      <c r="P279">
        <f t="shared" si="29"/>
        <v>68374</v>
      </c>
      <c r="Q279" t="str">
        <f t="shared" si="26"/>
        <v>film &amp; video</v>
      </c>
      <c r="R279" t="str">
        <f t="shared" si="27"/>
        <v>documentary</v>
      </c>
      <c r="S279" s="9">
        <f t="shared" si="30"/>
        <v>42117.68309027778</v>
      </c>
      <c r="T279" s="9">
        <f t="shared" si="31"/>
        <v>42147.68309027778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8"/>
        <v>1.5034814814814814</v>
      </c>
      <c r="P280">
        <f t="shared" si="29"/>
        <v>33797</v>
      </c>
      <c r="Q280" t="str">
        <f t="shared" si="26"/>
        <v>film &amp; video</v>
      </c>
      <c r="R280" t="str">
        <f t="shared" si="27"/>
        <v>documentary</v>
      </c>
      <c r="S280" s="9">
        <f t="shared" si="30"/>
        <v>41163.832627314812</v>
      </c>
      <c r="T280" s="9">
        <f t="shared" si="31"/>
        <v>41193.832627314812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8"/>
        <v>1.5731829411764706</v>
      </c>
      <c r="P281">
        <f t="shared" si="29"/>
        <v>21872.055</v>
      </c>
      <c r="Q281" t="str">
        <f t="shared" si="26"/>
        <v>film &amp; video</v>
      </c>
      <c r="R281" t="str">
        <f t="shared" si="27"/>
        <v>documentary</v>
      </c>
      <c r="S281" s="9">
        <f t="shared" si="30"/>
        <v>42759.035833333335</v>
      </c>
      <c r="T281" s="9">
        <f t="shared" si="31"/>
        <v>42792.875694444439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8"/>
        <v>1.5614399999999999</v>
      </c>
      <c r="P282">
        <f t="shared" si="29"/>
        <v>96054</v>
      </c>
      <c r="Q282" t="str">
        <f t="shared" si="26"/>
        <v>film &amp; video</v>
      </c>
      <c r="R282" t="str">
        <f t="shared" si="27"/>
        <v>documentary</v>
      </c>
      <c r="S282" s="9">
        <f t="shared" si="30"/>
        <v>41744.382349537038</v>
      </c>
      <c r="T282" s="9">
        <f t="shared" si="31"/>
        <v>41789.382349537038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8"/>
        <v>1.2058763636363636</v>
      </c>
      <c r="P283">
        <f t="shared" si="29"/>
        <v>6066.16</v>
      </c>
      <c r="Q283" t="str">
        <f t="shared" si="26"/>
        <v>film &amp; video</v>
      </c>
      <c r="R283" t="str">
        <f t="shared" si="27"/>
        <v>documentary</v>
      </c>
      <c r="S283" s="9">
        <f t="shared" si="30"/>
        <v>39949.955011574071</v>
      </c>
      <c r="T283" s="9">
        <f t="shared" si="31"/>
        <v>40035.601388888885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8"/>
        <v>1.0118888888888888</v>
      </c>
      <c r="P284">
        <f t="shared" si="29"/>
        <v>45267.5</v>
      </c>
      <c r="Q284" t="str">
        <f t="shared" si="26"/>
        <v>film &amp; video</v>
      </c>
      <c r="R284" t="str">
        <f t="shared" si="27"/>
        <v>documentary</v>
      </c>
      <c r="S284" s="9">
        <f t="shared" si="30"/>
        <v>40194.711712962962</v>
      </c>
      <c r="T284" s="9">
        <f t="shared" si="31"/>
        <v>40231.708333333328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8"/>
        <v>1.142725</v>
      </c>
      <c r="P285">
        <f t="shared" si="29"/>
        <v>19284.525000000001</v>
      </c>
      <c r="Q285" t="str">
        <f t="shared" si="26"/>
        <v>film &amp; video</v>
      </c>
      <c r="R285" t="str">
        <f t="shared" si="27"/>
        <v>documentary</v>
      </c>
      <c r="S285" s="9">
        <f t="shared" si="30"/>
        <v>40675.501666666663</v>
      </c>
      <c r="T285" s="9">
        <f t="shared" si="31"/>
        <v>40694.999305555553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8"/>
        <v>1.0462615</v>
      </c>
      <c r="P286">
        <f t="shared" si="29"/>
        <v>40925.229999999996</v>
      </c>
      <c r="Q286" t="str">
        <f t="shared" si="26"/>
        <v>film &amp; video</v>
      </c>
      <c r="R286" t="str">
        <f t="shared" si="27"/>
        <v>documentary</v>
      </c>
      <c r="S286" s="9">
        <f t="shared" si="30"/>
        <v>40904.529861111107</v>
      </c>
      <c r="T286" s="9">
        <f t="shared" si="31"/>
        <v>40929.529861111107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8"/>
        <v>2.2882507142857142</v>
      </c>
      <c r="P287">
        <f t="shared" si="29"/>
        <v>23017.754999999997</v>
      </c>
      <c r="Q287" t="str">
        <f t="shared" si="26"/>
        <v>film &amp; video</v>
      </c>
      <c r="R287" t="str">
        <f t="shared" si="27"/>
        <v>documentary</v>
      </c>
      <c r="S287" s="9">
        <f t="shared" si="30"/>
        <v>41506.547777777778</v>
      </c>
      <c r="T287" s="9">
        <f t="shared" si="31"/>
        <v>41536.547777777778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8"/>
        <v>1.0915333333333332</v>
      </c>
      <c r="P288">
        <f t="shared" si="29"/>
        <v>15686.5</v>
      </c>
      <c r="Q288" t="str">
        <f t="shared" si="26"/>
        <v>film &amp; video</v>
      </c>
      <c r="R288" t="str">
        <f t="shared" si="27"/>
        <v>documentary</v>
      </c>
      <c r="S288" s="9">
        <f t="shared" si="30"/>
        <v>41313.607916666668</v>
      </c>
      <c r="T288" s="9">
        <f t="shared" si="31"/>
        <v>41358.566249999996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8"/>
        <v>1.7629999999999999</v>
      </c>
      <c r="P289">
        <f t="shared" si="29"/>
        <v>20722.5</v>
      </c>
      <c r="Q289" t="str">
        <f t="shared" si="26"/>
        <v>film &amp; video</v>
      </c>
      <c r="R289" t="str">
        <f t="shared" si="27"/>
        <v>documentary</v>
      </c>
      <c r="S289" s="9">
        <f t="shared" si="30"/>
        <v>41184.069652777776</v>
      </c>
      <c r="T289" s="9">
        <f t="shared" si="31"/>
        <v>41214.958333333328</v>
      </c>
    </row>
    <row r="290" spans="1:20" ht="43.5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8"/>
        <v>1.0321061999999999</v>
      </c>
      <c r="P290">
        <f t="shared" si="29"/>
        <v>50802.654999999999</v>
      </c>
      <c r="Q290" t="str">
        <f t="shared" si="26"/>
        <v>film &amp; video</v>
      </c>
      <c r="R290" t="str">
        <f t="shared" si="27"/>
        <v>documentary</v>
      </c>
      <c r="S290" s="9">
        <f t="shared" si="30"/>
        <v>41050.960567129623</v>
      </c>
      <c r="T290" s="9">
        <f t="shared" si="31"/>
        <v>41085.960567129623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8"/>
        <v>1.0482</v>
      </c>
      <c r="P291">
        <f t="shared" si="29"/>
        <v>15361.5</v>
      </c>
      <c r="Q291" t="str">
        <f t="shared" si="26"/>
        <v>film &amp; video</v>
      </c>
      <c r="R291" t="str">
        <f t="shared" si="27"/>
        <v>documentary</v>
      </c>
      <c r="S291" s="9">
        <f t="shared" si="30"/>
        <v>41550.248078703698</v>
      </c>
      <c r="T291" s="9">
        <f t="shared" si="31"/>
        <v>41580.248078703698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8"/>
        <v>1.0668444444444445</v>
      </c>
      <c r="P292">
        <f t="shared" si="29"/>
        <v>4650.3999999999996</v>
      </c>
      <c r="Q292" t="str">
        <f t="shared" si="26"/>
        <v>film &amp; video</v>
      </c>
      <c r="R292" t="str">
        <f t="shared" si="27"/>
        <v>documentary</v>
      </c>
      <c r="S292" s="9">
        <f t="shared" si="30"/>
        <v>40526.160844907405</v>
      </c>
      <c r="T292" s="9">
        <f t="shared" si="31"/>
        <v>40576.124305555553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8"/>
        <v>1.2001999999999999</v>
      </c>
      <c r="P293">
        <f t="shared" si="29"/>
        <v>5500.5</v>
      </c>
      <c r="Q293" t="str">
        <f t="shared" si="26"/>
        <v>film &amp; video</v>
      </c>
      <c r="R293" t="str">
        <f t="shared" si="27"/>
        <v>documentary</v>
      </c>
      <c r="S293" s="9">
        <f t="shared" si="30"/>
        <v>41376.560717592591</v>
      </c>
      <c r="T293" s="9">
        <f t="shared" si="31"/>
        <v>41394.792361111111</v>
      </c>
    </row>
    <row r="294" spans="1:20" ht="43.5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8"/>
        <v>1.0150693333333334</v>
      </c>
      <c r="P294">
        <f t="shared" si="29"/>
        <v>75565.100000000006</v>
      </c>
      <c r="Q294" t="str">
        <f t="shared" si="26"/>
        <v>film &amp; video</v>
      </c>
      <c r="R294" t="str">
        <f t="shared" si="27"/>
        <v>documentary</v>
      </c>
      <c r="S294" s="9">
        <f t="shared" si="30"/>
        <v>40812.594895833332</v>
      </c>
      <c r="T294" s="9">
        <f t="shared" si="31"/>
        <v>40844.957638888889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8"/>
        <v>1.0138461538461538</v>
      </c>
      <c r="P295">
        <f t="shared" si="29"/>
        <v>26180</v>
      </c>
      <c r="Q295" t="str">
        <f t="shared" si="26"/>
        <v>film &amp; video</v>
      </c>
      <c r="R295" t="str">
        <f t="shared" si="27"/>
        <v>documentary</v>
      </c>
      <c r="S295" s="9">
        <f t="shared" si="30"/>
        <v>41719.459652777776</v>
      </c>
      <c r="T295" s="9">
        <f t="shared" si="31"/>
        <v>41749.459652777776</v>
      </c>
    </row>
    <row r="296" spans="1:20" ht="43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8"/>
        <v>1</v>
      </c>
      <c r="P296">
        <f t="shared" si="29"/>
        <v>5000</v>
      </c>
      <c r="Q296" t="str">
        <f t="shared" si="26"/>
        <v>film &amp; video</v>
      </c>
      <c r="R296" t="str">
        <f t="shared" si="27"/>
        <v>documentary</v>
      </c>
      <c r="S296" s="9">
        <f t="shared" si="30"/>
        <v>40342.876087962963</v>
      </c>
      <c r="T296" s="9">
        <f t="shared" si="31"/>
        <v>40378.458333333328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8"/>
        <v>1.3310911999999999</v>
      </c>
      <c r="P297">
        <f t="shared" si="29"/>
        <v>58277.279999999999</v>
      </c>
      <c r="Q297" t="str">
        <f t="shared" si="26"/>
        <v>film &amp; video</v>
      </c>
      <c r="R297" t="str">
        <f t="shared" si="27"/>
        <v>documentary</v>
      </c>
      <c r="S297" s="9">
        <f t="shared" si="30"/>
        <v>41518.796400462961</v>
      </c>
      <c r="T297" s="9">
        <f t="shared" si="31"/>
        <v>41578.791666666664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8"/>
        <v>1.187262</v>
      </c>
      <c r="P298">
        <f t="shared" si="29"/>
        <v>27340.775000000001</v>
      </c>
      <c r="Q298" t="str">
        <f t="shared" si="26"/>
        <v>film &amp; video</v>
      </c>
      <c r="R298" t="str">
        <f t="shared" si="27"/>
        <v>documentary</v>
      </c>
      <c r="S298" s="9">
        <f t="shared" si="30"/>
        <v>41134.267164351848</v>
      </c>
      <c r="T298" s="9">
        <f t="shared" si="31"/>
        <v>41159.267164351848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8"/>
        <v>1.0064</v>
      </c>
      <c r="P299">
        <f t="shared" si="29"/>
        <v>20064</v>
      </c>
      <c r="Q299" t="str">
        <f t="shared" si="26"/>
        <v>film &amp; video</v>
      </c>
      <c r="R299" t="str">
        <f t="shared" si="27"/>
        <v>documentary</v>
      </c>
      <c r="S299" s="9">
        <f t="shared" si="30"/>
        <v>42089.519687499997</v>
      </c>
      <c r="T299" s="9">
        <f t="shared" si="31"/>
        <v>42124.957638888889</v>
      </c>
    </row>
    <row r="300" spans="1:20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8"/>
        <v>1.089324126984127</v>
      </c>
      <c r="P300">
        <f t="shared" si="29"/>
        <v>131627.41999999998</v>
      </c>
      <c r="Q300" t="str">
        <f t="shared" si="26"/>
        <v>film &amp; video</v>
      </c>
      <c r="R300" t="str">
        <f t="shared" si="27"/>
        <v>documentary</v>
      </c>
      <c r="S300" s="9">
        <f t="shared" si="30"/>
        <v>41709.255185185182</v>
      </c>
      <c r="T300" s="9">
        <f t="shared" si="31"/>
        <v>41768.666666666664</v>
      </c>
    </row>
    <row r="301" spans="1:20" ht="43.5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8"/>
        <v>1.789525</v>
      </c>
      <c r="P301">
        <f t="shared" si="29"/>
        <v>13947.625</v>
      </c>
      <c r="Q301" t="str">
        <f t="shared" si="26"/>
        <v>film &amp; video</v>
      </c>
      <c r="R301" t="str">
        <f t="shared" si="27"/>
        <v>documentary</v>
      </c>
      <c r="S301" s="9">
        <f t="shared" si="30"/>
        <v>40469.016898148147</v>
      </c>
      <c r="T301" s="9">
        <f t="shared" si="31"/>
        <v>40499.058564814812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8"/>
        <v>1.0172264</v>
      </c>
      <c r="P302">
        <f t="shared" si="29"/>
        <v>25215.33</v>
      </c>
      <c r="Q302" t="str">
        <f t="shared" si="26"/>
        <v>film &amp; video</v>
      </c>
      <c r="R302" t="str">
        <f t="shared" si="27"/>
        <v>documentary</v>
      </c>
      <c r="S302" s="9">
        <f t="shared" si="30"/>
        <v>40626.751597222217</v>
      </c>
      <c r="T302" s="9">
        <f t="shared" si="31"/>
        <v>40657.751597222217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8"/>
        <v>1.1873499999999999</v>
      </c>
      <c r="P303">
        <f t="shared" si="29"/>
        <v>14217.775</v>
      </c>
      <c r="Q303" t="str">
        <f t="shared" si="26"/>
        <v>film &amp; video</v>
      </c>
      <c r="R303" t="str">
        <f t="shared" si="27"/>
        <v>documentary</v>
      </c>
      <c r="S303" s="9">
        <f t="shared" si="30"/>
        <v>41312.529340277775</v>
      </c>
      <c r="T303" s="9">
        <f t="shared" si="31"/>
        <v>41352.487673611111</v>
      </c>
    </row>
    <row r="304" spans="1:20" ht="43.5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8"/>
        <v>1.0045999999999999</v>
      </c>
      <c r="P304">
        <f t="shared" si="29"/>
        <v>10023</v>
      </c>
      <c r="Q304" t="str">
        <f t="shared" si="26"/>
        <v>film &amp; video</v>
      </c>
      <c r="R304" t="str">
        <f t="shared" si="27"/>
        <v>documentary</v>
      </c>
      <c r="S304" s="9">
        <f t="shared" si="30"/>
        <v>40933.648587962962</v>
      </c>
      <c r="T304" s="9">
        <f t="shared" si="31"/>
        <v>40963.648587962962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8"/>
        <v>1.3746666666666667</v>
      </c>
      <c r="P305">
        <f t="shared" si="29"/>
        <v>3562</v>
      </c>
      <c r="Q305" t="str">
        <f t="shared" si="26"/>
        <v>film &amp; video</v>
      </c>
      <c r="R305" t="str">
        <f t="shared" si="27"/>
        <v>documentary</v>
      </c>
      <c r="S305" s="9">
        <f t="shared" si="30"/>
        <v>41031.862800925919</v>
      </c>
      <c r="T305" s="9">
        <f t="shared" si="31"/>
        <v>41061.862800925919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8"/>
        <v>2.3164705882352941</v>
      </c>
      <c r="P306">
        <f t="shared" si="29"/>
        <v>5638</v>
      </c>
      <c r="Q306" t="str">
        <f t="shared" si="26"/>
        <v>film &amp; video</v>
      </c>
      <c r="R306" t="str">
        <f t="shared" si="27"/>
        <v>documentary</v>
      </c>
      <c r="S306" s="9">
        <f t="shared" si="30"/>
        <v>41113.88653935185</v>
      </c>
      <c r="T306" s="9">
        <f t="shared" si="31"/>
        <v>41152.875</v>
      </c>
    </row>
    <row r="307" spans="1:20" ht="29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8"/>
        <v>1.3033333333333332</v>
      </c>
      <c r="P307">
        <f t="shared" si="29"/>
        <v>8637.5</v>
      </c>
      <c r="Q307" t="str">
        <f t="shared" si="26"/>
        <v>film &amp; video</v>
      </c>
      <c r="R307" t="str">
        <f t="shared" si="27"/>
        <v>documentary</v>
      </c>
      <c r="S307" s="9">
        <f t="shared" si="30"/>
        <v>40948.421863425923</v>
      </c>
      <c r="T307" s="9">
        <f t="shared" si="31"/>
        <v>40978.421863425923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8"/>
        <v>2.9289999999999998</v>
      </c>
      <c r="P308">
        <f t="shared" si="29"/>
        <v>1964.5</v>
      </c>
      <c r="Q308" t="str">
        <f t="shared" ref="Q308:Q371" si="32">IF(N308="film &amp; video/documentary","film &amp; video")</f>
        <v>film &amp; video</v>
      </c>
      <c r="R308" t="str">
        <f t="shared" ref="R308:R371" si="33">IF(N308="film &amp; video/documentary","documentary")</f>
        <v>documentary</v>
      </c>
      <c r="S308" s="9">
        <f t="shared" si="30"/>
        <v>41333.628854166665</v>
      </c>
      <c r="T308" s="9">
        <f t="shared" si="31"/>
        <v>41353.587187499994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8"/>
        <v>1.1131818181818183</v>
      </c>
      <c r="P309">
        <f t="shared" si="29"/>
        <v>23245</v>
      </c>
      <c r="Q309" t="str">
        <f t="shared" si="32"/>
        <v>film &amp; video</v>
      </c>
      <c r="R309" t="str">
        <f t="shared" si="33"/>
        <v>documentary</v>
      </c>
      <c r="S309" s="9">
        <f t="shared" si="30"/>
        <v>41282.736122685186</v>
      </c>
      <c r="T309" s="9">
        <f t="shared" si="31"/>
        <v>41312.736122685186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8"/>
        <v>1.0556666666666668</v>
      </c>
      <c r="P310">
        <f t="shared" si="29"/>
        <v>12334</v>
      </c>
      <c r="Q310" t="str">
        <f t="shared" si="32"/>
        <v>film &amp; video</v>
      </c>
      <c r="R310" t="str">
        <f t="shared" si="33"/>
        <v>documentary</v>
      </c>
      <c r="S310" s="9">
        <f t="shared" si="30"/>
        <v>40567.486226851848</v>
      </c>
      <c r="T310" s="9">
        <f t="shared" si="31"/>
        <v>40612.486226851848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8"/>
        <v>1.1894444444444445</v>
      </c>
      <c r="P311">
        <f t="shared" si="29"/>
        <v>19705</v>
      </c>
      <c r="Q311" t="str">
        <f t="shared" si="32"/>
        <v>film &amp; video</v>
      </c>
      <c r="R311" t="str">
        <f t="shared" si="33"/>
        <v>documentary</v>
      </c>
      <c r="S311" s="9">
        <f t="shared" si="30"/>
        <v>41134.543217592589</v>
      </c>
      <c r="T311" s="9">
        <f t="shared" si="31"/>
        <v>41155.543217592589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8"/>
        <v>1.04129</v>
      </c>
      <c r="P312">
        <f t="shared" si="29"/>
        <v>1020.645</v>
      </c>
      <c r="Q312" t="str">
        <f t="shared" si="32"/>
        <v>film &amp; video</v>
      </c>
      <c r="R312" t="str">
        <f t="shared" si="33"/>
        <v>documentary</v>
      </c>
      <c r="S312" s="9">
        <f t="shared" si="30"/>
        <v>40820.974803240737</v>
      </c>
      <c r="T312" s="9">
        <f t="shared" si="31"/>
        <v>40835.875</v>
      </c>
    </row>
    <row r="313" spans="1:20" ht="29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8"/>
        <v>1.0410165</v>
      </c>
      <c r="P313">
        <f t="shared" si="29"/>
        <v>20410.165000000001</v>
      </c>
      <c r="Q313" t="str">
        <f t="shared" si="32"/>
        <v>film &amp; video</v>
      </c>
      <c r="R313" t="str">
        <f t="shared" si="33"/>
        <v>documentary</v>
      </c>
      <c r="S313" s="9">
        <f t="shared" si="30"/>
        <v>40868.011481481481</v>
      </c>
      <c r="T313" s="9">
        <f t="shared" si="31"/>
        <v>40909.124305555553</v>
      </c>
    </row>
    <row r="314" spans="1:20" ht="43.5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8"/>
        <v>1.1187499999999999</v>
      </c>
      <c r="P314">
        <f t="shared" si="29"/>
        <v>8475</v>
      </c>
      <c r="Q314" t="str">
        <f t="shared" si="32"/>
        <v>film &amp; video</v>
      </c>
      <c r="R314" t="str">
        <f t="shared" si="33"/>
        <v>documentary</v>
      </c>
      <c r="S314" s="9">
        <f t="shared" si="30"/>
        <v>41348.669351851851</v>
      </c>
      <c r="T314" s="9">
        <f t="shared" si="31"/>
        <v>41378.669351851851</v>
      </c>
    </row>
    <row r="315" spans="1:20" ht="43.5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8"/>
        <v>1.0473529411764706</v>
      </c>
      <c r="P315">
        <f t="shared" si="29"/>
        <v>17402.5</v>
      </c>
      <c r="Q315" t="str">
        <f t="shared" si="32"/>
        <v>film &amp; video</v>
      </c>
      <c r="R315" t="str">
        <f t="shared" si="33"/>
        <v>documentary</v>
      </c>
      <c r="S315" s="9">
        <f t="shared" si="30"/>
        <v>40357.019606481481</v>
      </c>
      <c r="T315" s="9">
        <f t="shared" si="31"/>
        <v>40401.457638888889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8"/>
        <v>3.8515000000000001</v>
      </c>
      <c r="P316">
        <f t="shared" si="29"/>
        <v>2425.75</v>
      </c>
      <c r="Q316" t="str">
        <f t="shared" si="32"/>
        <v>film &amp; video</v>
      </c>
      <c r="R316" t="str">
        <f t="shared" si="33"/>
        <v>documentary</v>
      </c>
      <c r="S316" s="9">
        <f t="shared" si="30"/>
        <v>41304.624861111108</v>
      </c>
      <c r="T316" s="9">
        <f t="shared" si="31"/>
        <v>41334.624861111108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8"/>
        <v>1.01248</v>
      </c>
      <c r="P317">
        <f t="shared" si="29"/>
        <v>25156</v>
      </c>
      <c r="Q317" t="str">
        <f t="shared" si="32"/>
        <v>film &amp; video</v>
      </c>
      <c r="R317" t="str">
        <f t="shared" si="33"/>
        <v>documentary</v>
      </c>
      <c r="S317" s="9">
        <f t="shared" si="30"/>
        <v>41113.564050925925</v>
      </c>
      <c r="T317" s="9">
        <f t="shared" si="31"/>
        <v>41143.564050925925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8"/>
        <v>1.1377333333333333</v>
      </c>
      <c r="P318">
        <f t="shared" si="29"/>
        <v>16033</v>
      </c>
      <c r="Q318" t="str">
        <f t="shared" si="32"/>
        <v>film &amp; video</v>
      </c>
      <c r="R318" t="str">
        <f t="shared" si="33"/>
        <v>documentary</v>
      </c>
      <c r="S318" s="9">
        <f t="shared" si="30"/>
        <v>41950.715243055551</v>
      </c>
      <c r="T318" s="9">
        <f t="shared" si="31"/>
        <v>41983.999305555553</v>
      </c>
    </row>
    <row r="319" spans="1:20" ht="29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8"/>
        <v>1.0080333333333333</v>
      </c>
      <c r="P319">
        <f t="shared" si="29"/>
        <v>30120.5</v>
      </c>
      <c r="Q319" t="str">
        <f t="shared" si="32"/>
        <v>film &amp; video</v>
      </c>
      <c r="R319" t="str">
        <f t="shared" si="33"/>
        <v>documentary</v>
      </c>
      <c r="S319" s="9">
        <f t="shared" si="30"/>
        <v>41589.468553240738</v>
      </c>
      <c r="T319" s="9">
        <f t="shared" si="31"/>
        <v>41619.468553240738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8"/>
        <v>2.8332000000000002</v>
      </c>
      <c r="P320">
        <f t="shared" si="29"/>
        <v>9583</v>
      </c>
      <c r="Q320" t="str">
        <f t="shared" si="32"/>
        <v>film &amp; video</v>
      </c>
      <c r="R320" t="str">
        <f t="shared" si="33"/>
        <v>documentary</v>
      </c>
      <c r="S320" s="9">
        <f t="shared" si="30"/>
        <v>41329.830451388887</v>
      </c>
      <c r="T320" s="9">
        <f t="shared" si="31"/>
        <v>41359.788784722223</v>
      </c>
    </row>
    <row r="321" spans="1:20" ht="43.5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8"/>
        <v>1.1268</v>
      </c>
      <c r="P321">
        <f t="shared" si="29"/>
        <v>5317</v>
      </c>
      <c r="Q321" t="str">
        <f t="shared" si="32"/>
        <v>film &amp; video</v>
      </c>
      <c r="R321" t="str">
        <f t="shared" si="33"/>
        <v>documentary</v>
      </c>
      <c r="S321" s="9">
        <f t="shared" si="30"/>
        <v>40123.629965277774</v>
      </c>
      <c r="T321" s="9">
        <f t="shared" si="31"/>
        <v>40211.124305555553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8"/>
        <v>1.0658000000000001</v>
      </c>
      <c r="P322">
        <f t="shared" si="29"/>
        <v>20658</v>
      </c>
      <c r="Q322" t="str">
        <f t="shared" si="32"/>
        <v>film &amp; video</v>
      </c>
      <c r="R322" t="str">
        <f t="shared" si="33"/>
        <v>documentary</v>
      </c>
      <c r="S322" s="9">
        <f t="shared" si="30"/>
        <v>42331.34297453703</v>
      </c>
      <c r="T322" s="9">
        <f t="shared" si="31"/>
        <v>42360.749999999993</v>
      </c>
    </row>
    <row r="323" spans="1:20" ht="29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4">E323/D323</f>
        <v>1.0266285714285714</v>
      </c>
      <c r="P323">
        <f t="shared" ref="P323:P386" si="35">AVERAGE(D323:E323)</f>
        <v>35466</v>
      </c>
      <c r="Q323" t="str">
        <f t="shared" si="32"/>
        <v>film &amp; video</v>
      </c>
      <c r="R323" t="str">
        <f t="shared" si="33"/>
        <v>documentary</v>
      </c>
      <c r="S323" s="9">
        <f t="shared" ref="S323:S386" si="36">J323/86400+25569+(-5/24)</f>
        <v>42647.238263888888</v>
      </c>
      <c r="T323" s="9">
        <f t="shared" si="31"/>
        <v>42682.279930555553</v>
      </c>
    </row>
    <row r="324" spans="1:20" ht="29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4"/>
        <v>1.0791200000000001</v>
      </c>
      <c r="P324">
        <f t="shared" si="35"/>
        <v>25989</v>
      </c>
      <c r="Q324" t="str">
        <f t="shared" si="32"/>
        <v>film &amp; video</v>
      </c>
      <c r="R324" t="str">
        <f t="shared" si="33"/>
        <v>documentary</v>
      </c>
      <c r="S324" s="9">
        <f t="shared" si="36"/>
        <v>42473.361666666664</v>
      </c>
      <c r="T324" s="9">
        <f t="shared" ref="T324:T387" si="37">I324/86400+25569+(-5/24)</f>
        <v>42503.361666666664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4"/>
        <v>1.2307407407407407</v>
      </c>
      <c r="P325">
        <f t="shared" si="35"/>
        <v>6023</v>
      </c>
      <c r="Q325" t="str">
        <f t="shared" si="32"/>
        <v>film &amp; video</v>
      </c>
      <c r="R325" t="str">
        <f t="shared" si="33"/>
        <v>documentary</v>
      </c>
      <c r="S325" s="9">
        <f t="shared" si="36"/>
        <v>42697.113032407404</v>
      </c>
      <c r="T325" s="9">
        <f t="shared" si="37"/>
        <v>42725.124305555553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4"/>
        <v>1.016</v>
      </c>
      <c r="P326">
        <f t="shared" si="35"/>
        <v>8568</v>
      </c>
      <c r="Q326" t="str">
        <f t="shared" si="32"/>
        <v>film &amp; video</v>
      </c>
      <c r="R326" t="str">
        <f t="shared" si="33"/>
        <v>documentary</v>
      </c>
      <c r="S326" s="9">
        <f t="shared" si="36"/>
        <v>42184.417916666665</v>
      </c>
      <c r="T326" s="9">
        <f t="shared" si="37"/>
        <v>42217.417916666665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4"/>
        <v>1.04396</v>
      </c>
      <c r="P327">
        <f t="shared" si="35"/>
        <v>51099</v>
      </c>
      <c r="Q327" t="str">
        <f t="shared" si="32"/>
        <v>film &amp; video</v>
      </c>
      <c r="R327" t="str">
        <f t="shared" si="33"/>
        <v>documentary</v>
      </c>
      <c r="S327" s="9">
        <f t="shared" si="36"/>
        <v>42688.979548611103</v>
      </c>
      <c r="T327" s="9">
        <f t="shared" si="37"/>
        <v>42723.979548611103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4"/>
        <v>1.1292973333333334</v>
      </c>
      <c r="P328">
        <f t="shared" si="35"/>
        <v>159697.29999999999</v>
      </c>
      <c r="Q328" t="str">
        <f t="shared" si="32"/>
        <v>film &amp; video</v>
      </c>
      <c r="R328" t="str">
        <f t="shared" si="33"/>
        <v>documentary</v>
      </c>
      <c r="S328" s="9">
        <f t="shared" si="36"/>
        <v>42775.106550925928</v>
      </c>
      <c r="T328" s="9">
        <f t="shared" si="37"/>
        <v>42808.747916666667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4"/>
        <v>1.3640000000000001</v>
      </c>
      <c r="P329">
        <f t="shared" si="35"/>
        <v>4728</v>
      </c>
      <c r="Q329" t="str">
        <f t="shared" si="32"/>
        <v>film &amp; video</v>
      </c>
      <c r="R329" t="str">
        <f t="shared" si="33"/>
        <v>documentary</v>
      </c>
      <c r="S329" s="9">
        <f t="shared" si="36"/>
        <v>42058.026956018519</v>
      </c>
      <c r="T329" s="9">
        <f t="shared" si="37"/>
        <v>42085.124999999993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4"/>
        <v>1.036144</v>
      </c>
      <c r="P330">
        <f t="shared" si="35"/>
        <v>76355.399999999994</v>
      </c>
      <c r="Q330" t="str">
        <f t="shared" si="32"/>
        <v>film &amp; video</v>
      </c>
      <c r="R330" t="str">
        <f t="shared" si="33"/>
        <v>documentary</v>
      </c>
      <c r="S330" s="9">
        <f t="shared" si="36"/>
        <v>42278.738287037035</v>
      </c>
      <c r="T330" s="9">
        <f t="shared" si="37"/>
        <v>42308.958333333336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4"/>
        <v>1.0549999999999999</v>
      </c>
      <c r="P331">
        <f t="shared" si="35"/>
        <v>10275</v>
      </c>
      <c r="Q331" t="str">
        <f t="shared" si="32"/>
        <v>film &amp; video</v>
      </c>
      <c r="R331" t="str">
        <f t="shared" si="33"/>
        <v>documentary</v>
      </c>
      <c r="S331" s="9">
        <f t="shared" si="36"/>
        <v>42291.258414351854</v>
      </c>
      <c r="T331" s="9">
        <f t="shared" si="37"/>
        <v>42314.958333333336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4"/>
        <v>1.0182857142857142</v>
      </c>
      <c r="P332">
        <f t="shared" si="35"/>
        <v>35320</v>
      </c>
      <c r="Q332" t="str">
        <f t="shared" si="32"/>
        <v>film &amp; video</v>
      </c>
      <c r="R332" t="str">
        <f t="shared" si="33"/>
        <v>documentary</v>
      </c>
      <c r="S332" s="9">
        <f t="shared" si="36"/>
        <v>41379.307442129626</v>
      </c>
      <c r="T332" s="9">
        <f t="shared" si="37"/>
        <v>41410.957638888889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4"/>
        <v>1.0660499999999999</v>
      </c>
      <c r="P333">
        <f t="shared" si="35"/>
        <v>41321</v>
      </c>
      <c r="Q333" t="str">
        <f t="shared" si="32"/>
        <v>film &amp; video</v>
      </c>
      <c r="R333" t="str">
        <f t="shared" si="33"/>
        <v>documentary</v>
      </c>
      <c r="S333" s="9">
        <f t="shared" si="36"/>
        <v>42507.373078703698</v>
      </c>
      <c r="T333" s="9">
        <f t="shared" si="37"/>
        <v>42538.373078703698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4"/>
        <v>1.13015</v>
      </c>
      <c r="P334">
        <f t="shared" si="35"/>
        <v>106507.5</v>
      </c>
      <c r="Q334" t="str">
        <f t="shared" si="32"/>
        <v>film &amp; video</v>
      </c>
      <c r="R334" t="str">
        <f t="shared" si="33"/>
        <v>documentary</v>
      </c>
      <c r="S334" s="9">
        <f t="shared" si="36"/>
        <v>42263.471956018511</v>
      </c>
      <c r="T334" s="9">
        <f t="shared" si="37"/>
        <v>42305.124999999993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4"/>
        <v>1.252275</v>
      </c>
      <c r="P335">
        <f t="shared" si="35"/>
        <v>45045.5</v>
      </c>
      <c r="Q335" t="str">
        <f t="shared" si="32"/>
        <v>film &amp; video</v>
      </c>
      <c r="R335" t="str">
        <f t="shared" si="33"/>
        <v>documentary</v>
      </c>
      <c r="S335" s="9">
        <f t="shared" si="36"/>
        <v>42437.428136574068</v>
      </c>
      <c r="T335" s="9">
        <f t="shared" si="37"/>
        <v>42467.386469907404</v>
      </c>
    </row>
    <row r="336" spans="1:20" ht="43.5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4"/>
        <v>1.0119</v>
      </c>
      <c r="P336">
        <f t="shared" si="35"/>
        <v>10059.5</v>
      </c>
      <c r="Q336" t="str">
        <f t="shared" si="32"/>
        <v>film &amp; video</v>
      </c>
      <c r="R336" t="str">
        <f t="shared" si="33"/>
        <v>documentary</v>
      </c>
      <c r="S336" s="9">
        <f t="shared" si="36"/>
        <v>42101.474039351851</v>
      </c>
      <c r="T336" s="9">
        <f t="shared" si="37"/>
        <v>42139.583333333336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4"/>
        <v>1.0276470588235294</v>
      </c>
      <c r="P337">
        <f t="shared" si="35"/>
        <v>8617.5</v>
      </c>
      <c r="Q337" t="str">
        <f t="shared" si="32"/>
        <v>film &amp; video</v>
      </c>
      <c r="R337" t="str">
        <f t="shared" si="33"/>
        <v>documentary</v>
      </c>
      <c r="S337" s="9">
        <f t="shared" si="36"/>
        <v>42101.529108796291</v>
      </c>
      <c r="T337" s="9">
        <f t="shared" si="37"/>
        <v>42132.708333333336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4"/>
        <v>1.1683911999999999</v>
      </c>
      <c r="P338">
        <f t="shared" si="35"/>
        <v>27104.89</v>
      </c>
      <c r="Q338" t="str">
        <f t="shared" si="32"/>
        <v>film &amp; video</v>
      </c>
      <c r="R338" t="str">
        <f t="shared" si="33"/>
        <v>documentary</v>
      </c>
      <c r="S338" s="9">
        <f t="shared" si="36"/>
        <v>42291.387939814813</v>
      </c>
      <c r="T338" s="9">
        <f t="shared" si="37"/>
        <v>42321.429606481477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4"/>
        <v>1.0116833333333335</v>
      </c>
      <c r="P339">
        <f t="shared" si="35"/>
        <v>3017.5250000000001</v>
      </c>
      <c r="Q339" t="str">
        <f t="shared" si="32"/>
        <v>film &amp; video</v>
      </c>
      <c r="R339" t="str">
        <f t="shared" si="33"/>
        <v>documentary</v>
      </c>
      <c r="S339" s="9">
        <f t="shared" si="36"/>
        <v>42046.920231481483</v>
      </c>
      <c r="T339" s="9">
        <f t="shared" si="37"/>
        <v>42076.878564814811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4"/>
        <v>1.1013360000000001</v>
      </c>
      <c r="P340">
        <f t="shared" si="35"/>
        <v>15760.02</v>
      </c>
      <c r="Q340" t="str">
        <f t="shared" si="32"/>
        <v>film &amp; video</v>
      </c>
      <c r="R340" t="str">
        <f t="shared" si="33"/>
        <v>documentary</v>
      </c>
      <c r="S340" s="9">
        <f t="shared" si="36"/>
        <v>42559.547337962962</v>
      </c>
      <c r="T340" s="9">
        <f t="shared" si="37"/>
        <v>42615.833333333336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4"/>
        <v>1.0808333333333333</v>
      </c>
      <c r="P341">
        <f t="shared" si="35"/>
        <v>6242.5</v>
      </c>
      <c r="Q341" t="str">
        <f t="shared" si="32"/>
        <v>film &amp; video</v>
      </c>
      <c r="R341" t="str">
        <f t="shared" si="33"/>
        <v>documentary</v>
      </c>
      <c r="S341" s="9">
        <f t="shared" si="36"/>
        <v>42093.551712962959</v>
      </c>
      <c r="T341" s="9">
        <f t="shared" si="37"/>
        <v>42123.551712962959</v>
      </c>
    </row>
    <row r="342" spans="1:20" ht="29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4"/>
        <v>1.2502285714285715</v>
      </c>
      <c r="P342">
        <f t="shared" si="35"/>
        <v>39379</v>
      </c>
      <c r="Q342" t="str">
        <f t="shared" si="32"/>
        <v>film &amp; video</v>
      </c>
      <c r="R342" t="str">
        <f t="shared" si="33"/>
        <v>documentary</v>
      </c>
      <c r="S342" s="9">
        <f t="shared" si="36"/>
        <v>42772.460729166669</v>
      </c>
      <c r="T342" s="9">
        <f t="shared" si="37"/>
        <v>42802.666666666664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4"/>
        <v>1.0671428571428572</v>
      </c>
      <c r="P343">
        <f t="shared" si="35"/>
        <v>3617.5</v>
      </c>
      <c r="Q343" t="str">
        <f t="shared" si="32"/>
        <v>film &amp; video</v>
      </c>
      <c r="R343" t="str">
        <f t="shared" si="33"/>
        <v>documentary</v>
      </c>
      <c r="S343" s="9">
        <f t="shared" si="36"/>
        <v>41894.671273148146</v>
      </c>
      <c r="T343" s="9">
        <f t="shared" si="37"/>
        <v>41912.957638888889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4"/>
        <v>1.0036639999999999</v>
      </c>
      <c r="P344">
        <f t="shared" si="35"/>
        <v>55100.759999999995</v>
      </c>
      <c r="Q344" t="str">
        <f t="shared" si="32"/>
        <v>film &amp; video</v>
      </c>
      <c r="R344" t="str">
        <f t="shared" si="33"/>
        <v>documentary</v>
      </c>
      <c r="S344" s="9">
        <f t="shared" si="36"/>
        <v>42459.572511574072</v>
      </c>
      <c r="T344" s="9">
        <f t="shared" si="37"/>
        <v>42489.572511574072</v>
      </c>
    </row>
    <row r="345" spans="1:20" ht="43.5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4"/>
        <v>1.0202863333333334</v>
      </c>
      <c r="P345">
        <f t="shared" si="35"/>
        <v>30304.294999999998</v>
      </c>
      <c r="Q345" t="str">
        <f t="shared" si="32"/>
        <v>film &amp; video</v>
      </c>
      <c r="R345" t="str">
        <f t="shared" si="33"/>
        <v>documentary</v>
      </c>
      <c r="S345" s="9">
        <f t="shared" si="36"/>
        <v>41926.529456018514</v>
      </c>
      <c r="T345" s="9">
        <f t="shared" si="37"/>
        <v>41956.916666666664</v>
      </c>
    </row>
    <row r="346" spans="1:20" ht="43.5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4"/>
        <v>1.0208358208955224</v>
      </c>
      <c r="P346">
        <f t="shared" si="35"/>
        <v>33849</v>
      </c>
      <c r="Q346" t="str">
        <f t="shared" si="32"/>
        <v>film &amp; video</v>
      </c>
      <c r="R346" t="str">
        <f t="shared" si="33"/>
        <v>documentary</v>
      </c>
      <c r="S346" s="9">
        <f t="shared" si="36"/>
        <v>42111.762662037036</v>
      </c>
      <c r="T346" s="9">
        <f t="shared" si="37"/>
        <v>42155.888888888883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4"/>
        <v>1.2327586206896552</v>
      </c>
      <c r="P347">
        <f t="shared" si="35"/>
        <v>16187.5</v>
      </c>
      <c r="Q347" t="str">
        <f t="shared" si="32"/>
        <v>film &amp; video</v>
      </c>
      <c r="R347" t="str">
        <f t="shared" si="33"/>
        <v>documentary</v>
      </c>
      <c r="S347" s="9">
        <f t="shared" si="36"/>
        <v>42114.735995370364</v>
      </c>
      <c r="T347" s="9">
        <f t="shared" si="37"/>
        <v>42144.735995370364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4"/>
        <v>1.7028880000000002</v>
      </c>
      <c r="P348">
        <f t="shared" si="35"/>
        <v>13514.44</v>
      </c>
      <c r="Q348" t="str">
        <f t="shared" si="32"/>
        <v>film &amp; video</v>
      </c>
      <c r="R348" t="str">
        <f t="shared" si="33"/>
        <v>documentary</v>
      </c>
      <c r="S348" s="9">
        <f t="shared" si="36"/>
        <v>42261.291909722218</v>
      </c>
      <c r="T348" s="9">
        <f t="shared" si="37"/>
        <v>42291.291909722218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4"/>
        <v>1.1159049999999999</v>
      </c>
      <c r="P349">
        <f t="shared" si="35"/>
        <v>42318.1</v>
      </c>
      <c r="Q349" t="str">
        <f t="shared" si="32"/>
        <v>film &amp; video</v>
      </c>
      <c r="R349" t="str">
        <f t="shared" si="33"/>
        <v>documentary</v>
      </c>
      <c r="S349" s="9">
        <f t="shared" si="36"/>
        <v>42292.287141203698</v>
      </c>
      <c r="T349" s="9">
        <f t="shared" si="37"/>
        <v>42322.32880787037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4"/>
        <v>1.03</v>
      </c>
      <c r="P350">
        <f t="shared" si="35"/>
        <v>10150</v>
      </c>
      <c r="Q350" t="str">
        <f t="shared" si="32"/>
        <v>film &amp; video</v>
      </c>
      <c r="R350" t="str">
        <f t="shared" si="33"/>
        <v>documentary</v>
      </c>
      <c r="S350" s="9">
        <f t="shared" si="36"/>
        <v>42207.378657407404</v>
      </c>
      <c r="T350" s="9">
        <f t="shared" si="37"/>
        <v>42237.378657407404</v>
      </c>
    </row>
    <row r="351" spans="1:20" ht="29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4"/>
        <v>1.0663570159857905</v>
      </c>
      <c r="P351">
        <f t="shared" si="35"/>
        <v>11633.59</v>
      </c>
      <c r="Q351" t="str">
        <f t="shared" si="32"/>
        <v>film &amp; video</v>
      </c>
      <c r="R351" t="str">
        <f t="shared" si="33"/>
        <v>documentary</v>
      </c>
      <c r="S351" s="9">
        <f t="shared" si="36"/>
        <v>42760.290601851848</v>
      </c>
      <c r="T351" s="9">
        <f t="shared" si="37"/>
        <v>42790.290601851848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4"/>
        <v>1.1476</v>
      </c>
      <c r="P352">
        <f t="shared" si="35"/>
        <v>26845</v>
      </c>
      <c r="Q352" t="str">
        <f t="shared" si="32"/>
        <v>film &amp; video</v>
      </c>
      <c r="R352" t="str">
        <f t="shared" si="33"/>
        <v>documentary</v>
      </c>
      <c r="S352" s="9">
        <f t="shared" si="36"/>
        <v>42585.857743055552</v>
      </c>
      <c r="T352" s="9">
        <f t="shared" si="37"/>
        <v>42623.957638888889</v>
      </c>
    </row>
    <row r="353" spans="1:20" ht="43.5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4"/>
        <v>1.2734117647058822</v>
      </c>
      <c r="P353">
        <f t="shared" si="35"/>
        <v>38648</v>
      </c>
      <c r="Q353" t="str">
        <f t="shared" si="32"/>
        <v>film &amp; video</v>
      </c>
      <c r="R353" t="str">
        <f t="shared" si="33"/>
        <v>documentary</v>
      </c>
      <c r="S353" s="9">
        <f t="shared" si="36"/>
        <v>42427.75641203703</v>
      </c>
      <c r="T353" s="9">
        <f t="shared" si="37"/>
        <v>42467.714745370373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4"/>
        <v>1.1656</v>
      </c>
      <c r="P354">
        <f t="shared" si="35"/>
        <v>10828</v>
      </c>
      <c r="Q354" t="str">
        <f t="shared" si="32"/>
        <v>film &amp; video</v>
      </c>
      <c r="R354" t="str">
        <f t="shared" si="33"/>
        <v>documentary</v>
      </c>
      <c r="S354" s="9">
        <f t="shared" si="36"/>
        <v>41889.959120370368</v>
      </c>
      <c r="T354" s="9">
        <f t="shared" si="37"/>
        <v>41919.959120370368</v>
      </c>
    </row>
    <row r="355" spans="1:20" ht="43.5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4"/>
        <v>1.0861819426615318</v>
      </c>
      <c r="P355">
        <f t="shared" si="35"/>
        <v>60942.59</v>
      </c>
      <c r="Q355" t="str">
        <f t="shared" si="32"/>
        <v>film &amp; video</v>
      </c>
      <c r="R355" t="str">
        <f t="shared" si="33"/>
        <v>documentary</v>
      </c>
      <c r="S355" s="9">
        <f t="shared" si="36"/>
        <v>42297.583553240744</v>
      </c>
      <c r="T355" s="9">
        <f t="shared" si="37"/>
        <v>42327.625219907401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4"/>
        <v>1.0394285714285714</v>
      </c>
      <c r="P356">
        <f t="shared" si="35"/>
        <v>3569</v>
      </c>
      <c r="Q356" t="str">
        <f t="shared" si="32"/>
        <v>film &amp; video</v>
      </c>
      <c r="R356" t="str">
        <f t="shared" si="33"/>
        <v>documentary</v>
      </c>
      <c r="S356" s="9">
        <f t="shared" si="36"/>
        <v>42438.619456018518</v>
      </c>
      <c r="T356" s="9">
        <f t="shared" si="37"/>
        <v>42468.577789351846</v>
      </c>
    </row>
    <row r="357" spans="1:20" ht="29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4"/>
        <v>1.1625714285714286</v>
      </c>
      <c r="P357">
        <f t="shared" si="35"/>
        <v>37845</v>
      </c>
      <c r="Q357" t="str">
        <f t="shared" si="32"/>
        <v>film &amp; video</v>
      </c>
      <c r="R357" t="str">
        <f t="shared" si="33"/>
        <v>documentary</v>
      </c>
      <c r="S357" s="9">
        <f t="shared" si="36"/>
        <v>41943.0855787037</v>
      </c>
      <c r="T357" s="9">
        <f t="shared" si="37"/>
        <v>41974.127245370364</v>
      </c>
    </row>
    <row r="358" spans="1:20" ht="29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4"/>
        <v>1.0269239999999999</v>
      </c>
      <c r="P358">
        <f t="shared" si="35"/>
        <v>7600.9650000000001</v>
      </c>
      <c r="Q358" t="str">
        <f t="shared" si="32"/>
        <v>film &amp; video</v>
      </c>
      <c r="R358" t="str">
        <f t="shared" si="33"/>
        <v>documentary</v>
      </c>
      <c r="S358" s="9">
        <f t="shared" si="36"/>
        <v>42415.594826388886</v>
      </c>
      <c r="T358" s="9">
        <f t="shared" si="37"/>
        <v>42445.553159722222</v>
      </c>
    </row>
    <row r="359" spans="1:20" ht="43.5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4"/>
        <v>1.74</v>
      </c>
      <c r="P359">
        <f t="shared" si="35"/>
        <v>20550</v>
      </c>
      <c r="Q359" t="str">
        <f t="shared" si="32"/>
        <v>film &amp; video</v>
      </c>
      <c r="R359" t="str">
        <f t="shared" si="33"/>
        <v>documentary</v>
      </c>
      <c r="S359" s="9">
        <f t="shared" si="36"/>
        <v>42078.01385416666</v>
      </c>
      <c r="T359" s="9">
        <f t="shared" si="37"/>
        <v>42118.01385416666</v>
      </c>
    </row>
    <row r="360" spans="1:20" ht="29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4"/>
        <v>1.03088</v>
      </c>
      <c r="P360">
        <f t="shared" si="35"/>
        <v>50772</v>
      </c>
      <c r="Q360" t="str">
        <f t="shared" si="32"/>
        <v>film &amp; video</v>
      </c>
      <c r="R360" t="str">
        <f t="shared" si="33"/>
        <v>documentary</v>
      </c>
      <c r="S360" s="9">
        <f t="shared" si="36"/>
        <v>42507.651863425919</v>
      </c>
      <c r="T360" s="9">
        <f t="shared" si="37"/>
        <v>42536.416666666664</v>
      </c>
    </row>
    <row r="361" spans="1:20" ht="29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4"/>
        <v>1.0485537190082646</v>
      </c>
      <c r="P361">
        <f t="shared" si="35"/>
        <v>24787.5</v>
      </c>
      <c r="Q361" t="str">
        <f t="shared" si="32"/>
        <v>film &amp; video</v>
      </c>
      <c r="R361" t="str">
        <f t="shared" si="33"/>
        <v>documentary</v>
      </c>
      <c r="S361" s="9">
        <f t="shared" si="36"/>
        <v>41934.86215277778</v>
      </c>
      <c r="T361" s="9">
        <f t="shared" si="37"/>
        <v>41957.008333333331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4"/>
        <v>1.0137499999999999</v>
      </c>
      <c r="P362">
        <f t="shared" si="35"/>
        <v>12082.5</v>
      </c>
      <c r="Q362" t="str">
        <f t="shared" si="32"/>
        <v>film &amp; video</v>
      </c>
      <c r="R362" t="str">
        <f t="shared" si="33"/>
        <v>documentary</v>
      </c>
      <c r="S362" s="9">
        <f t="shared" si="36"/>
        <v>42163.689583333333</v>
      </c>
      <c r="T362" s="9">
        <f t="shared" si="37"/>
        <v>42207.924305555549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4"/>
        <v>1.1107699999999998</v>
      </c>
      <c r="P363">
        <f t="shared" si="35"/>
        <v>36938.474999999999</v>
      </c>
      <c r="Q363" t="str">
        <f t="shared" si="32"/>
        <v>film &amp; video</v>
      </c>
      <c r="R363" t="str">
        <f t="shared" si="33"/>
        <v>documentary</v>
      </c>
      <c r="S363" s="9">
        <f t="shared" si="36"/>
        <v>41935.792893518512</v>
      </c>
      <c r="T363" s="9">
        <f t="shared" si="37"/>
        <v>41965.834560185183</v>
      </c>
    </row>
    <row r="364" spans="1:20" ht="43.5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4"/>
        <v>1.2415933781686497</v>
      </c>
      <c r="P364">
        <f t="shared" si="35"/>
        <v>10832.5</v>
      </c>
      <c r="Q364" t="str">
        <f t="shared" si="32"/>
        <v>film &amp; video</v>
      </c>
      <c r="R364" t="str">
        <f t="shared" si="33"/>
        <v>documentary</v>
      </c>
      <c r="S364" s="9">
        <f t="shared" si="36"/>
        <v>41837.002210648148</v>
      </c>
      <c r="T364" s="9">
        <f t="shared" si="37"/>
        <v>41858.791666666664</v>
      </c>
    </row>
    <row r="365" spans="1:20" ht="43.5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4"/>
        <v>1.0133333333333334</v>
      </c>
      <c r="P365">
        <f t="shared" si="35"/>
        <v>8984.5</v>
      </c>
      <c r="Q365" t="str">
        <f t="shared" si="32"/>
        <v>film &amp; video</v>
      </c>
      <c r="R365" t="str">
        <f t="shared" si="33"/>
        <v>documentary</v>
      </c>
      <c r="S365" s="9">
        <f t="shared" si="36"/>
        <v>40255.53629629629</v>
      </c>
      <c r="T365" s="9">
        <f t="shared" si="37"/>
        <v>40300.598611111105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4"/>
        <v>1.1016142857142857</v>
      </c>
      <c r="P366">
        <f t="shared" si="35"/>
        <v>7355.65</v>
      </c>
      <c r="Q366" t="str">
        <f t="shared" si="32"/>
        <v>film &amp; video</v>
      </c>
      <c r="R366" t="str">
        <f t="shared" si="33"/>
        <v>documentary</v>
      </c>
      <c r="S366" s="9">
        <f t="shared" si="36"/>
        <v>41780.651296296295</v>
      </c>
      <c r="T366" s="9">
        <f t="shared" si="37"/>
        <v>41810.957638888889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4"/>
        <v>1.0397333333333334</v>
      </c>
      <c r="P367">
        <f t="shared" si="35"/>
        <v>15298</v>
      </c>
      <c r="Q367" t="str">
        <f t="shared" si="32"/>
        <v>film &amp; video</v>
      </c>
      <c r="R367" t="str">
        <f t="shared" si="33"/>
        <v>documentary</v>
      </c>
      <c r="S367" s="9">
        <f t="shared" si="36"/>
        <v>41668.398136574069</v>
      </c>
      <c r="T367" s="9">
        <f t="shared" si="37"/>
        <v>41698.398136574069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4"/>
        <v>1.013157894736842</v>
      </c>
      <c r="P368">
        <f t="shared" si="35"/>
        <v>38250</v>
      </c>
      <c r="Q368" t="str">
        <f t="shared" si="32"/>
        <v>film &amp; video</v>
      </c>
      <c r="R368" t="str">
        <f t="shared" si="33"/>
        <v>documentary</v>
      </c>
      <c r="S368" s="9">
        <f t="shared" si="36"/>
        <v>41019.584699074076</v>
      </c>
      <c r="T368" s="9">
        <f t="shared" si="37"/>
        <v>41049.584699074076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4"/>
        <v>1.033501</v>
      </c>
      <c r="P369">
        <f t="shared" si="35"/>
        <v>10167.505000000001</v>
      </c>
      <c r="Q369" t="str">
        <f t="shared" si="32"/>
        <v>film &amp; video</v>
      </c>
      <c r="R369" t="str">
        <f t="shared" si="33"/>
        <v>documentary</v>
      </c>
      <c r="S369" s="9">
        <f t="shared" si="36"/>
        <v>41355.368958333333</v>
      </c>
      <c r="T369" s="9">
        <f t="shared" si="37"/>
        <v>41394.999305555553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4"/>
        <v>1.04112</v>
      </c>
      <c r="P370">
        <f t="shared" si="35"/>
        <v>12757</v>
      </c>
      <c r="Q370" t="str">
        <f t="shared" si="32"/>
        <v>film &amp; video</v>
      </c>
      <c r="R370" t="str">
        <f t="shared" si="33"/>
        <v>documentary</v>
      </c>
      <c r="S370" s="9">
        <f t="shared" si="36"/>
        <v>42043.397245370368</v>
      </c>
      <c r="T370" s="9">
        <f t="shared" si="37"/>
        <v>42078.355578703697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4"/>
        <v>1.1015569230769231</v>
      </c>
      <c r="P371">
        <f t="shared" si="35"/>
        <v>6830.0599999999995</v>
      </c>
      <c r="Q371" t="str">
        <f t="shared" si="32"/>
        <v>film &amp; video</v>
      </c>
      <c r="R371" t="str">
        <f t="shared" si="33"/>
        <v>documentary</v>
      </c>
      <c r="S371" s="9">
        <f t="shared" si="36"/>
        <v>40893.3433912037</v>
      </c>
      <c r="T371" s="9">
        <f t="shared" si="37"/>
        <v>40923.3433912037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4"/>
        <v>1.2202</v>
      </c>
      <c r="P372">
        <f t="shared" si="35"/>
        <v>27752.5</v>
      </c>
      <c r="Q372" t="str">
        <f t="shared" ref="Q372:Q420" si="38">IF(N372="film &amp; video/documentary","film &amp; video")</f>
        <v>film &amp; video</v>
      </c>
      <c r="R372" t="str">
        <f t="shared" ref="R372:R420" si="39">IF(N372="film &amp; video/documentary","documentary")</f>
        <v>documentary</v>
      </c>
      <c r="S372" s="9">
        <f t="shared" si="36"/>
        <v>42711.586805555555</v>
      </c>
      <c r="T372" s="9">
        <f t="shared" si="37"/>
        <v>42741.586805555555</v>
      </c>
    </row>
    <row r="373" spans="1:20" ht="43.5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4"/>
        <v>1.1416866666666667</v>
      </c>
      <c r="P373">
        <f t="shared" si="35"/>
        <v>160626.5</v>
      </c>
      <c r="Q373" t="str">
        <f t="shared" si="38"/>
        <v>film &amp; video</v>
      </c>
      <c r="R373" t="str">
        <f t="shared" si="39"/>
        <v>documentary</v>
      </c>
      <c r="S373" s="9">
        <f t="shared" si="36"/>
        <v>41261.559479166666</v>
      </c>
      <c r="T373" s="9">
        <f t="shared" si="37"/>
        <v>41306.559479166666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4"/>
        <v>1.2533333333333334</v>
      </c>
      <c r="P374">
        <f t="shared" si="35"/>
        <v>338</v>
      </c>
      <c r="Q374" t="str">
        <f t="shared" si="38"/>
        <v>film &amp; video</v>
      </c>
      <c r="R374" t="str">
        <f t="shared" si="39"/>
        <v>documentary</v>
      </c>
      <c r="S374" s="9">
        <f t="shared" si="36"/>
        <v>42425.368564814817</v>
      </c>
      <c r="T374" s="9">
        <f t="shared" si="37"/>
        <v>42465.458333333336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4"/>
        <v>1.0666666666666667</v>
      </c>
      <c r="P375">
        <f t="shared" si="35"/>
        <v>7750</v>
      </c>
      <c r="Q375" t="str">
        <f t="shared" si="38"/>
        <v>film &amp; video</v>
      </c>
      <c r="R375" t="str">
        <f t="shared" si="39"/>
        <v>documentary</v>
      </c>
      <c r="S375" s="9">
        <f t="shared" si="36"/>
        <v>41078.703680555554</v>
      </c>
      <c r="T375" s="9">
        <f t="shared" si="37"/>
        <v>41108.703680555554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4"/>
        <v>1.3065</v>
      </c>
      <c r="P376">
        <f t="shared" si="35"/>
        <v>6919.5</v>
      </c>
      <c r="Q376" t="str">
        <f t="shared" si="38"/>
        <v>film &amp; video</v>
      </c>
      <c r="R376" t="str">
        <f t="shared" si="39"/>
        <v>documentary</v>
      </c>
      <c r="S376" s="9">
        <f t="shared" si="36"/>
        <v>40757.680914351848</v>
      </c>
      <c r="T376" s="9">
        <f t="shared" si="37"/>
        <v>40802.680914351848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4"/>
        <v>1.2</v>
      </c>
      <c r="P377">
        <f t="shared" si="35"/>
        <v>550</v>
      </c>
      <c r="Q377" t="str">
        <f t="shared" si="38"/>
        <v>film &amp; video</v>
      </c>
      <c r="R377" t="str">
        <f t="shared" si="39"/>
        <v>documentary</v>
      </c>
      <c r="S377" s="9">
        <f t="shared" si="36"/>
        <v>41657.77674768518</v>
      </c>
      <c r="T377" s="9">
        <f t="shared" si="37"/>
        <v>41699.512499999997</v>
      </c>
    </row>
    <row r="378" spans="1:20" ht="43.5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4"/>
        <v>1.0595918367346939</v>
      </c>
      <c r="P378">
        <f t="shared" si="35"/>
        <v>2523</v>
      </c>
      <c r="Q378" t="str">
        <f t="shared" si="38"/>
        <v>film &amp; video</v>
      </c>
      <c r="R378" t="str">
        <f t="shared" si="39"/>
        <v>documentary</v>
      </c>
      <c r="S378" s="9">
        <f t="shared" si="36"/>
        <v>42576.244398148141</v>
      </c>
      <c r="T378" s="9">
        <f t="shared" si="37"/>
        <v>42607.244398148141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4"/>
        <v>1.1439999999999999</v>
      </c>
      <c r="P379">
        <f t="shared" si="35"/>
        <v>12864</v>
      </c>
      <c r="Q379" t="str">
        <f t="shared" si="38"/>
        <v>film &amp; video</v>
      </c>
      <c r="R379" t="str">
        <f t="shared" si="39"/>
        <v>documentary</v>
      </c>
      <c r="S379" s="9">
        <f t="shared" si="36"/>
        <v>42292.042453703696</v>
      </c>
      <c r="T379" s="9">
        <f t="shared" si="37"/>
        <v>42322.084027777775</v>
      </c>
    </row>
    <row r="380" spans="1:20" ht="43.5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4"/>
        <v>1.1176666666666666</v>
      </c>
      <c r="P380">
        <f t="shared" si="35"/>
        <v>3176.5</v>
      </c>
      <c r="Q380" t="str">
        <f t="shared" si="38"/>
        <v>film &amp; video</v>
      </c>
      <c r="R380" t="str">
        <f t="shared" si="39"/>
        <v>documentary</v>
      </c>
      <c r="S380" s="9">
        <f t="shared" si="36"/>
        <v>42370.363518518519</v>
      </c>
      <c r="T380" s="9">
        <f t="shared" si="37"/>
        <v>42394.786111111105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4"/>
        <v>1.1608000000000001</v>
      </c>
      <c r="P381">
        <f t="shared" si="35"/>
        <v>16206</v>
      </c>
      <c r="Q381" t="str">
        <f t="shared" si="38"/>
        <v>film &amp; video</v>
      </c>
      <c r="R381" t="str">
        <f t="shared" si="39"/>
        <v>documentary</v>
      </c>
      <c r="S381" s="9">
        <f t="shared" si="36"/>
        <v>40987.479999999996</v>
      </c>
      <c r="T381" s="9">
        <f t="shared" si="37"/>
        <v>41032.479999999996</v>
      </c>
    </row>
    <row r="382" spans="1:20" ht="43.5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4"/>
        <v>1.415</v>
      </c>
      <c r="P382">
        <f t="shared" si="35"/>
        <v>4830</v>
      </c>
      <c r="Q382" t="str">
        <f t="shared" si="38"/>
        <v>film &amp; video</v>
      </c>
      <c r="R382" t="str">
        <f t="shared" si="39"/>
        <v>documentary</v>
      </c>
      <c r="S382" s="9">
        <f t="shared" si="36"/>
        <v>42367.511481481481</v>
      </c>
      <c r="T382" s="9">
        <f t="shared" si="37"/>
        <v>42392.511481481481</v>
      </c>
    </row>
    <row r="383" spans="1:20" ht="29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4"/>
        <v>1.0472999999999999</v>
      </c>
      <c r="P383">
        <f t="shared" si="35"/>
        <v>25591.25</v>
      </c>
      <c r="Q383" t="str">
        <f t="shared" si="38"/>
        <v>film &amp; video</v>
      </c>
      <c r="R383" t="str">
        <f t="shared" si="39"/>
        <v>documentary</v>
      </c>
      <c r="S383" s="9">
        <f t="shared" si="36"/>
        <v>41085.48978009259</v>
      </c>
      <c r="T383" s="9">
        <f t="shared" si="37"/>
        <v>41120</v>
      </c>
    </row>
    <row r="384" spans="1:20" ht="43.5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4"/>
        <v>2.5583333333333331</v>
      </c>
      <c r="P384">
        <f t="shared" si="35"/>
        <v>1067.5</v>
      </c>
      <c r="Q384" t="str">
        <f t="shared" si="38"/>
        <v>film &amp; video</v>
      </c>
      <c r="R384" t="str">
        <f t="shared" si="39"/>
        <v>documentary</v>
      </c>
      <c r="S384" s="9">
        <f t="shared" si="36"/>
        <v>41144.501157407409</v>
      </c>
      <c r="T384" s="9">
        <f t="shared" si="37"/>
        <v>41158.501157407409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4"/>
        <v>2.0670670670670672</v>
      </c>
      <c r="P385">
        <f t="shared" si="35"/>
        <v>1532</v>
      </c>
      <c r="Q385" t="str">
        <f t="shared" si="38"/>
        <v>film &amp; video</v>
      </c>
      <c r="R385" t="str">
        <f t="shared" si="39"/>
        <v>documentary</v>
      </c>
      <c r="S385" s="9">
        <f t="shared" si="36"/>
        <v>41754.90924768518</v>
      </c>
      <c r="T385" s="9">
        <f t="shared" si="37"/>
        <v>41777.90924768518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4"/>
        <v>1.1210500000000001</v>
      </c>
      <c r="P386">
        <f t="shared" si="35"/>
        <v>21210.5</v>
      </c>
      <c r="Q386" t="str">
        <f t="shared" si="38"/>
        <v>film &amp; video</v>
      </c>
      <c r="R386" t="str">
        <f t="shared" si="39"/>
        <v>documentary</v>
      </c>
      <c r="S386" s="9">
        <f t="shared" si="36"/>
        <v>41980.573460648149</v>
      </c>
      <c r="T386" s="9">
        <f t="shared" si="37"/>
        <v>42010.573460648149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40">E387/D387</f>
        <v>1.05982</v>
      </c>
      <c r="P387">
        <f t="shared" ref="P387:P450" si="41">AVERAGE(D387:E387)</f>
        <v>25747.75</v>
      </c>
      <c r="Q387" t="str">
        <f t="shared" si="38"/>
        <v>film &amp; video</v>
      </c>
      <c r="R387" t="str">
        <f t="shared" si="39"/>
        <v>documentary</v>
      </c>
      <c r="S387" s="9">
        <f t="shared" ref="S387:S450" si="42">J387/86400+25569+(-5/24)</f>
        <v>41934.376168981478</v>
      </c>
      <c r="T387" s="9">
        <f t="shared" si="37"/>
        <v>41964.41783564815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0"/>
        <v>1.0016666666666667</v>
      </c>
      <c r="P388">
        <f t="shared" si="41"/>
        <v>600.5</v>
      </c>
      <c r="Q388" t="str">
        <f t="shared" si="38"/>
        <v>film &amp; video</v>
      </c>
      <c r="R388" t="str">
        <f t="shared" si="39"/>
        <v>documentary</v>
      </c>
      <c r="S388" s="9">
        <f t="shared" si="42"/>
        <v>42211.742951388886</v>
      </c>
      <c r="T388" s="9">
        <f t="shared" ref="T388:T451" si="43">I388/86400+25569+(-5/24)</f>
        <v>42226.742951388886</v>
      </c>
    </row>
    <row r="389" spans="1:20" ht="43.5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0"/>
        <v>2.1398947368421051</v>
      </c>
      <c r="P389">
        <f t="shared" si="41"/>
        <v>59658</v>
      </c>
      <c r="Q389" t="str">
        <f t="shared" si="38"/>
        <v>film &amp; video</v>
      </c>
      <c r="R389" t="str">
        <f t="shared" si="39"/>
        <v>documentary</v>
      </c>
      <c r="S389" s="9">
        <f t="shared" si="42"/>
        <v>42200.468263888884</v>
      </c>
      <c r="T389" s="9">
        <f t="shared" si="43"/>
        <v>42231.041666666664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0"/>
        <v>1.2616000000000001</v>
      </c>
      <c r="P390">
        <f t="shared" si="41"/>
        <v>5654</v>
      </c>
      <c r="Q390" t="str">
        <f t="shared" si="38"/>
        <v>film &amp; video</v>
      </c>
      <c r="R390" t="str">
        <f t="shared" si="39"/>
        <v>documentary</v>
      </c>
      <c r="S390" s="9">
        <f t="shared" si="42"/>
        <v>42548.86782407407</v>
      </c>
      <c r="T390" s="9">
        <f t="shared" si="43"/>
        <v>42578.86782407407</v>
      </c>
    </row>
    <row r="391" spans="1:20" ht="43.5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0"/>
        <v>1.8153547058823529</v>
      </c>
      <c r="P391">
        <f t="shared" si="41"/>
        <v>95722.06</v>
      </c>
      <c r="Q391" t="str">
        <f t="shared" si="38"/>
        <v>film &amp; video</v>
      </c>
      <c r="R391" t="str">
        <f t="shared" si="39"/>
        <v>documentary</v>
      </c>
      <c r="S391" s="9">
        <f t="shared" si="42"/>
        <v>41673.854745370372</v>
      </c>
      <c r="T391" s="9">
        <f t="shared" si="43"/>
        <v>41705.749305555553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0"/>
        <v>1</v>
      </c>
      <c r="P392">
        <f t="shared" si="41"/>
        <v>1000</v>
      </c>
      <c r="Q392" t="str">
        <f t="shared" si="38"/>
        <v>film &amp; video</v>
      </c>
      <c r="R392" t="str">
        <f t="shared" si="39"/>
        <v>documentary</v>
      </c>
      <c r="S392" s="9">
        <f t="shared" si="42"/>
        <v>42111.828379629624</v>
      </c>
      <c r="T392" s="9">
        <f t="shared" si="43"/>
        <v>42131.828379629624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0"/>
        <v>1.0061</v>
      </c>
      <c r="P393">
        <f t="shared" si="41"/>
        <v>20061</v>
      </c>
      <c r="Q393" t="str">
        <f t="shared" si="38"/>
        <v>film &amp; video</v>
      </c>
      <c r="R393" t="str">
        <f t="shared" si="39"/>
        <v>documentary</v>
      </c>
      <c r="S393" s="9">
        <f t="shared" si="42"/>
        <v>40864.833923611106</v>
      </c>
      <c r="T393" s="9">
        <f t="shared" si="43"/>
        <v>40894.832638888889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0"/>
        <v>1.009027027027027</v>
      </c>
      <c r="P394">
        <f t="shared" si="41"/>
        <v>18583.5</v>
      </c>
      <c r="Q394" t="str">
        <f t="shared" si="38"/>
        <v>film &amp; video</v>
      </c>
      <c r="R394" t="str">
        <f t="shared" si="39"/>
        <v>documentary</v>
      </c>
      <c r="S394" s="9">
        <f t="shared" si="42"/>
        <v>40763.508923611109</v>
      </c>
      <c r="T394" s="9">
        <f t="shared" si="43"/>
        <v>40793.916666666664</v>
      </c>
    </row>
    <row r="395" spans="1:20" ht="29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0"/>
        <v>1.10446</v>
      </c>
      <c r="P395">
        <f t="shared" si="41"/>
        <v>52611.5</v>
      </c>
      <c r="Q395" t="str">
        <f t="shared" si="38"/>
        <v>film &amp; video</v>
      </c>
      <c r="R395" t="str">
        <f t="shared" si="39"/>
        <v>documentary</v>
      </c>
      <c r="S395" s="9">
        <f t="shared" si="42"/>
        <v>41526.500601851847</v>
      </c>
      <c r="T395" s="9">
        <f t="shared" si="43"/>
        <v>41557.500601851847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0"/>
        <v>1.118936170212766</v>
      </c>
      <c r="P396">
        <f t="shared" si="41"/>
        <v>4979.5</v>
      </c>
      <c r="Q396" t="str">
        <f t="shared" si="38"/>
        <v>film &amp; video</v>
      </c>
      <c r="R396" t="str">
        <f t="shared" si="39"/>
        <v>documentary</v>
      </c>
      <c r="S396" s="9">
        <f t="shared" si="42"/>
        <v>42417.60974537037</v>
      </c>
      <c r="T396" s="9">
        <f t="shared" si="43"/>
        <v>42477.568078703705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0"/>
        <v>1.0804450000000001</v>
      </c>
      <c r="P397">
        <f t="shared" si="41"/>
        <v>10402.225</v>
      </c>
      <c r="Q397" t="str">
        <f t="shared" si="38"/>
        <v>film &amp; video</v>
      </c>
      <c r="R397" t="str">
        <f t="shared" si="39"/>
        <v>documentary</v>
      </c>
      <c r="S397" s="9">
        <f t="shared" si="42"/>
        <v>40990.700925925921</v>
      </c>
      <c r="T397" s="9">
        <f t="shared" si="43"/>
        <v>41026.688888888886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0"/>
        <v>1.0666666666666667</v>
      </c>
      <c r="P398">
        <f t="shared" si="41"/>
        <v>15500</v>
      </c>
      <c r="Q398" t="str">
        <f t="shared" si="38"/>
        <v>film &amp; video</v>
      </c>
      <c r="R398" t="str">
        <f t="shared" si="39"/>
        <v>documentary</v>
      </c>
      <c r="S398" s="9">
        <f t="shared" si="42"/>
        <v>41082.356550925928</v>
      </c>
      <c r="T398" s="9">
        <f t="shared" si="43"/>
        <v>41097.356550925928</v>
      </c>
    </row>
    <row r="399" spans="1:20" ht="43.5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0"/>
        <v>1.0390027322404372</v>
      </c>
      <c r="P399">
        <f t="shared" si="41"/>
        <v>12686.674999999999</v>
      </c>
      <c r="Q399" t="str">
        <f t="shared" si="38"/>
        <v>film &amp; video</v>
      </c>
      <c r="R399" t="str">
        <f t="shared" si="39"/>
        <v>documentary</v>
      </c>
      <c r="S399" s="9">
        <f t="shared" si="42"/>
        <v>40379.568101851852</v>
      </c>
      <c r="T399" s="9">
        <f t="shared" si="43"/>
        <v>40421.947222222218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0"/>
        <v>1.2516</v>
      </c>
      <c r="P400">
        <f t="shared" si="41"/>
        <v>8443.5</v>
      </c>
      <c r="Q400" t="str">
        <f t="shared" si="38"/>
        <v>film &amp; video</v>
      </c>
      <c r="R400" t="str">
        <f t="shared" si="39"/>
        <v>documentary</v>
      </c>
      <c r="S400" s="9">
        <f t="shared" si="42"/>
        <v>42078.584791666661</v>
      </c>
      <c r="T400" s="9">
        <f t="shared" si="43"/>
        <v>42123.584791666661</v>
      </c>
    </row>
    <row r="401" spans="1:20" ht="43.5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0"/>
        <v>1.0680499999999999</v>
      </c>
      <c r="P401">
        <f t="shared" si="41"/>
        <v>20680.5</v>
      </c>
      <c r="Q401" t="str">
        <f t="shared" si="38"/>
        <v>film &amp; video</v>
      </c>
      <c r="R401" t="str">
        <f t="shared" si="39"/>
        <v>documentary</v>
      </c>
      <c r="S401" s="9">
        <f t="shared" si="42"/>
        <v>42687.667442129627</v>
      </c>
      <c r="T401" s="9">
        <f t="shared" si="43"/>
        <v>42718.291666666664</v>
      </c>
    </row>
    <row r="402" spans="1:20" ht="29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0"/>
        <v>1.1230249999999999</v>
      </c>
      <c r="P402">
        <f t="shared" si="41"/>
        <v>10615.125</v>
      </c>
      <c r="Q402" t="str">
        <f t="shared" si="38"/>
        <v>film &amp; video</v>
      </c>
      <c r="R402" t="str">
        <f t="shared" si="39"/>
        <v>documentary</v>
      </c>
      <c r="S402" s="9">
        <f t="shared" si="42"/>
        <v>41745.427627314813</v>
      </c>
      <c r="T402" s="9">
        <f t="shared" si="43"/>
        <v>41775.9375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0"/>
        <v>1.0381199999999999</v>
      </c>
      <c r="P403">
        <f t="shared" si="41"/>
        <v>50953</v>
      </c>
      <c r="Q403" t="str">
        <f t="shared" si="38"/>
        <v>film &amp; video</v>
      </c>
      <c r="R403" t="str">
        <f t="shared" si="39"/>
        <v>documentary</v>
      </c>
      <c r="S403" s="9">
        <f t="shared" si="42"/>
        <v>40732.633912037032</v>
      </c>
      <c r="T403" s="9">
        <f t="shared" si="43"/>
        <v>40762.633912037032</v>
      </c>
    </row>
    <row r="404" spans="1:20" ht="43.5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0"/>
        <v>1.4165000000000001</v>
      </c>
      <c r="P404">
        <f t="shared" si="41"/>
        <v>2416.5</v>
      </c>
      <c r="Q404" t="str">
        <f t="shared" si="38"/>
        <v>film &amp; video</v>
      </c>
      <c r="R404" t="str">
        <f t="shared" si="39"/>
        <v>documentary</v>
      </c>
      <c r="S404" s="9">
        <f t="shared" si="42"/>
        <v>42292.331215277773</v>
      </c>
      <c r="T404" s="9">
        <f t="shared" si="43"/>
        <v>42313.372881944444</v>
      </c>
    </row>
    <row r="405" spans="1:20" ht="29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0"/>
        <v>1.0526</v>
      </c>
      <c r="P405">
        <f t="shared" si="41"/>
        <v>5131.5</v>
      </c>
      <c r="Q405" t="str">
        <f t="shared" si="38"/>
        <v>film &amp; video</v>
      </c>
      <c r="R405" t="str">
        <f t="shared" si="39"/>
        <v>documentary</v>
      </c>
      <c r="S405" s="9">
        <f t="shared" si="42"/>
        <v>40718.102326388886</v>
      </c>
      <c r="T405" s="9">
        <f t="shared" si="43"/>
        <v>40765.088888888888</v>
      </c>
    </row>
    <row r="406" spans="1:20" ht="29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0"/>
        <v>1.0309142857142857</v>
      </c>
      <c r="P406">
        <f t="shared" si="41"/>
        <v>35541</v>
      </c>
      <c r="Q406" t="str">
        <f t="shared" si="38"/>
        <v>film &amp; video</v>
      </c>
      <c r="R406" t="str">
        <f t="shared" si="39"/>
        <v>documentary</v>
      </c>
      <c r="S406" s="9">
        <f t="shared" si="42"/>
        <v>41646.419699074067</v>
      </c>
      <c r="T406" s="9">
        <f t="shared" si="43"/>
        <v>41675.75277777778</v>
      </c>
    </row>
    <row r="407" spans="1:20" ht="29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0"/>
        <v>1.0765957446808512</v>
      </c>
      <c r="P407">
        <f t="shared" si="41"/>
        <v>2928</v>
      </c>
      <c r="Q407" t="str">
        <f t="shared" si="38"/>
        <v>film &amp; video</v>
      </c>
      <c r="R407" t="str">
        <f t="shared" si="39"/>
        <v>documentary</v>
      </c>
      <c r="S407" s="9">
        <f t="shared" si="42"/>
        <v>41673.876608796294</v>
      </c>
      <c r="T407" s="9">
        <f t="shared" si="43"/>
        <v>41703.876608796294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0"/>
        <v>1.0770464285714285</v>
      </c>
      <c r="P408">
        <f t="shared" si="41"/>
        <v>2907.8649999999998</v>
      </c>
      <c r="Q408" t="str">
        <f t="shared" si="38"/>
        <v>film &amp; video</v>
      </c>
      <c r="R408" t="str">
        <f t="shared" si="39"/>
        <v>documentary</v>
      </c>
      <c r="S408" s="9">
        <f t="shared" si="42"/>
        <v>40637.95413194444</v>
      </c>
      <c r="T408" s="9">
        <f t="shared" si="43"/>
        <v>40672.040972222218</v>
      </c>
    </row>
    <row r="409" spans="1:20" ht="29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0"/>
        <v>1.0155000000000001</v>
      </c>
      <c r="P409">
        <f t="shared" si="41"/>
        <v>2015.5</v>
      </c>
      <c r="Q409" t="str">
        <f t="shared" si="38"/>
        <v>film &amp; video</v>
      </c>
      <c r="R409" t="str">
        <f t="shared" si="39"/>
        <v>documentary</v>
      </c>
      <c r="S409" s="9">
        <f t="shared" si="42"/>
        <v>40806.662615740737</v>
      </c>
      <c r="T409" s="9">
        <f t="shared" si="43"/>
        <v>40866.704282407409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0"/>
        <v>1.0143766666666667</v>
      </c>
      <c r="P410">
        <f t="shared" si="41"/>
        <v>6043.13</v>
      </c>
      <c r="Q410" t="str">
        <f t="shared" si="38"/>
        <v>film &amp; video</v>
      </c>
      <c r="R410" t="str">
        <f t="shared" si="39"/>
        <v>documentary</v>
      </c>
      <c r="S410" s="9">
        <f t="shared" si="42"/>
        <v>41543.527662037035</v>
      </c>
      <c r="T410" s="9">
        <f t="shared" si="43"/>
        <v>41583.569328703699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0"/>
        <v>1.3680000000000001</v>
      </c>
      <c r="P411">
        <f t="shared" si="41"/>
        <v>592</v>
      </c>
      <c r="Q411" t="str">
        <f t="shared" si="38"/>
        <v>film &amp; video</v>
      </c>
      <c r="R411" t="str">
        <f t="shared" si="39"/>
        <v>documentary</v>
      </c>
      <c r="S411" s="9">
        <f t="shared" si="42"/>
        <v>42543.654444444437</v>
      </c>
      <c r="T411" s="9">
        <f t="shared" si="43"/>
        <v>42573.654444444437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0"/>
        <v>1.2829999999999999</v>
      </c>
      <c r="P412">
        <f t="shared" si="41"/>
        <v>1141.5</v>
      </c>
      <c r="Q412" t="str">
        <f t="shared" si="38"/>
        <v>film &amp; video</v>
      </c>
      <c r="R412" t="str">
        <f t="shared" si="39"/>
        <v>documentary</v>
      </c>
      <c r="S412" s="9">
        <f t="shared" si="42"/>
        <v>42113.773113425923</v>
      </c>
      <c r="T412" s="9">
        <f t="shared" si="43"/>
        <v>42173.773113425923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0"/>
        <v>1.0105</v>
      </c>
      <c r="P413">
        <f t="shared" si="41"/>
        <v>30157.5</v>
      </c>
      <c r="Q413" t="str">
        <f t="shared" si="38"/>
        <v>film &amp; video</v>
      </c>
      <c r="R413" t="str">
        <f t="shared" si="39"/>
        <v>documentary</v>
      </c>
      <c r="S413" s="9">
        <f t="shared" si="42"/>
        <v>41597.967638888884</v>
      </c>
      <c r="T413" s="9">
        <f t="shared" si="43"/>
        <v>41630</v>
      </c>
    </row>
    <row r="414" spans="1:20" ht="43.5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0"/>
        <v>1.2684</v>
      </c>
      <c r="P414">
        <f t="shared" si="41"/>
        <v>2835.5</v>
      </c>
      <c r="Q414" t="str">
        <f t="shared" si="38"/>
        <v>film &amp; video</v>
      </c>
      <c r="R414" t="str">
        <f t="shared" si="39"/>
        <v>documentary</v>
      </c>
      <c r="S414" s="9">
        <f t="shared" si="42"/>
        <v>41099.534467592588</v>
      </c>
      <c r="T414" s="9">
        <f t="shared" si="43"/>
        <v>41115.534467592588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0"/>
        <v>1.0508593749999999</v>
      </c>
      <c r="P415">
        <f t="shared" si="41"/>
        <v>13125.5</v>
      </c>
      <c r="Q415" t="str">
        <f t="shared" si="38"/>
        <v>film &amp; video</v>
      </c>
      <c r="R415" t="str">
        <f t="shared" si="39"/>
        <v>documentary</v>
      </c>
      <c r="S415" s="9">
        <f t="shared" si="42"/>
        <v>41079.66910879629</v>
      </c>
      <c r="T415" s="9">
        <f t="shared" si="43"/>
        <v>41109.66910879629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0"/>
        <v>1.0285405405405406</v>
      </c>
      <c r="P416">
        <f t="shared" si="41"/>
        <v>18764</v>
      </c>
      <c r="Q416" t="str">
        <f t="shared" si="38"/>
        <v>film &amp; video</v>
      </c>
      <c r="R416" t="str">
        <f t="shared" si="39"/>
        <v>documentary</v>
      </c>
      <c r="S416" s="9">
        <f t="shared" si="42"/>
        <v>41528.85491898148</v>
      </c>
      <c r="T416" s="9">
        <f t="shared" si="43"/>
        <v>41558.85491898148</v>
      </c>
    </row>
    <row r="417" spans="1:20" ht="43.5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0"/>
        <v>1.0214714285714286</v>
      </c>
      <c r="P417">
        <f t="shared" si="41"/>
        <v>1415.03</v>
      </c>
      <c r="Q417" t="str">
        <f t="shared" si="38"/>
        <v>film &amp; video</v>
      </c>
      <c r="R417" t="str">
        <f t="shared" si="39"/>
        <v>documentary</v>
      </c>
      <c r="S417" s="9">
        <f t="shared" si="42"/>
        <v>41904.643541666665</v>
      </c>
      <c r="T417" s="9">
        <f t="shared" si="43"/>
        <v>41929.291666666664</v>
      </c>
    </row>
    <row r="418" spans="1:20" ht="29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0"/>
        <v>1.2021700000000002</v>
      </c>
      <c r="P418">
        <f t="shared" si="41"/>
        <v>1101.085</v>
      </c>
      <c r="Q418" t="str">
        <f t="shared" si="38"/>
        <v>film &amp; video</v>
      </c>
      <c r="R418" t="str">
        <f t="shared" si="39"/>
        <v>documentary</v>
      </c>
      <c r="S418" s="9">
        <f t="shared" si="42"/>
        <v>41648.187858796293</v>
      </c>
      <c r="T418" s="9">
        <f t="shared" si="43"/>
        <v>41678.187858796293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0"/>
        <v>1.0024761904761905</v>
      </c>
      <c r="P419">
        <f t="shared" si="41"/>
        <v>10513</v>
      </c>
      <c r="Q419" t="str">
        <f t="shared" si="38"/>
        <v>film &amp; video</v>
      </c>
      <c r="R419" t="str">
        <f t="shared" si="39"/>
        <v>documentary</v>
      </c>
      <c r="S419" s="9">
        <f t="shared" si="42"/>
        <v>41360.762268518512</v>
      </c>
      <c r="T419" s="9">
        <f t="shared" si="43"/>
        <v>41371.981249999997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0"/>
        <v>1.0063392857142857</v>
      </c>
      <c r="P420">
        <f t="shared" si="41"/>
        <v>22471</v>
      </c>
      <c r="Q420" t="str">
        <f t="shared" si="38"/>
        <v>film &amp; video</v>
      </c>
      <c r="R420" t="str">
        <f t="shared" si="39"/>
        <v>documentary</v>
      </c>
      <c r="S420" s="9">
        <f t="shared" si="42"/>
        <v>42178.07403935185</v>
      </c>
      <c r="T420" s="9">
        <f t="shared" si="43"/>
        <v>42208.07403935185</v>
      </c>
    </row>
    <row r="421" spans="1:20" ht="29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0"/>
        <v>1.004375</v>
      </c>
      <c r="P421">
        <f t="shared" si="41"/>
        <v>8017.5</v>
      </c>
      <c r="Q421" t="str">
        <f>IF(N421="film &amp; video/documentary","film &amp; video")</f>
        <v>film &amp; video</v>
      </c>
      <c r="R421" t="str">
        <f>IF(N421="film &amp; video/documentary","documentary")</f>
        <v>documentary</v>
      </c>
      <c r="S421" s="9">
        <f t="shared" si="42"/>
        <v>41394.634108796294</v>
      </c>
      <c r="T421" s="9">
        <f t="shared" si="43"/>
        <v>41454.634108796294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0"/>
        <v>4.3939393939393936E-3</v>
      </c>
      <c r="P422">
        <f t="shared" si="41"/>
        <v>1657.25</v>
      </c>
      <c r="Q422" t="str">
        <f>IF(N422="film &amp; video/animation","film &amp; video")</f>
        <v>film &amp; video</v>
      </c>
      <c r="R422" t="str">
        <f>IF(N422="film &amp; video/animation","animation")</f>
        <v>animation</v>
      </c>
      <c r="S422" s="9">
        <f t="shared" si="42"/>
        <v>41682.028136574074</v>
      </c>
      <c r="T422" s="9">
        <f t="shared" si="43"/>
        <v>41711.986469907402</v>
      </c>
    </row>
    <row r="423" spans="1:20" ht="43.5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0"/>
        <v>2.0066666666666667E-2</v>
      </c>
      <c r="P423">
        <f t="shared" si="41"/>
        <v>7650.5</v>
      </c>
      <c r="Q423" t="str">
        <f>IF(N423="film &amp; video/animation","film &amp; video")</f>
        <v>film &amp; video</v>
      </c>
      <c r="R423" t="str">
        <f>IF(N423="film &amp; video/animation","animation")</f>
        <v>animation</v>
      </c>
      <c r="S423" s="9">
        <f t="shared" si="42"/>
        <v>42177.283055555548</v>
      </c>
      <c r="T423" s="9">
        <f t="shared" si="43"/>
        <v>42237.283055555548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0"/>
        <v>1.0749999999999999E-2</v>
      </c>
      <c r="P424">
        <f t="shared" si="41"/>
        <v>20215</v>
      </c>
      <c r="Q424" t="str">
        <f t="shared" ref="Q424:Q487" si="44">IF(N424="film &amp; video/animation","film &amp; video")</f>
        <v>film &amp; video</v>
      </c>
      <c r="R424" t="str">
        <f t="shared" ref="R424:R487" si="45">IF(N424="film &amp; video/animation","animation")</f>
        <v>animation</v>
      </c>
      <c r="S424" s="9">
        <f t="shared" si="42"/>
        <v>41863.052048611113</v>
      </c>
      <c r="T424" s="9">
        <f t="shared" si="43"/>
        <v>41893.052048611113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0"/>
        <v>7.6499999999999997E-3</v>
      </c>
      <c r="P425">
        <f t="shared" si="41"/>
        <v>10076.5</v>
      </c>
      <c r="Q425" t="str">
        <f t="shared" si="44"/>
        <v>film &amp; video</v>
      </c>
      <c r="R425" t="str">
        <f t="shared" si="45"/>
        <v>animation</v>
      </c>
      <c r="S425" s="9">
        <f t="shared" si="42"/>
        <v>41400.717939814815</v>
      </c>
      <c r="T425" s="9">
        <f t="shared" si="43"/>
        <v>41430.717939814815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0"/>
        <v>6.7966666666666675E-2</v>
      </c>
      <c r="P426">
        <f t="shared" si="41"/>
        <v>1601.95</v>
      </c>
      <c r="Q426" t="str">
        <f t="shared" si="44"/>
        <v>film &amp; video</v>
      </c>
      <c r="R426" t="str">
        <f t="shared" si="45"/>
        <v>animation</v>
      </c>
      <c r="S426" s="9">
        <f t="shared" si="42"/>
        <v>40934.167812499996</v>
      </c>
      <c r="T426" s="9">
        <f t="shared" si="43"/>
        <v>40994.126145833332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0"/>
        <v>1.2E-4</v>
      </c>
      <c r="P427">
        <f t="shared" si="41"/>
        <v>25003</v>
      </c>
      <c r="Q427" t="str">
        <f t="shared" si="44"/>
        <v>film &amp; video</v>
      </c>
      <c r="R427" t="str">
        <f t="shared" si="45"/>
        <v>animation</v>
      </c>
      <c r="S427" s="9">
        <f t="shared" si="42"/>
        <v>42275.652824074066</v>
      </c>
      <c r="T427" s="9">
        <f t="shared" si="43"/>
        <v>42335.694490740738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0"/>
        <v>1.3299999999999999E-2</v>
      </c>
      <c r="P428">
        <f t="shared" si="41"/>
        <v>5066.5</v>
      </c>
      <c r="Q428" t="str">
        <f t="shared" si="44"/>
        <v>film &amp; video</v>
      </c>
      <c r="R428" t="str">
        <f t="shared" si="45"/>
        <v>animation</v>
      </c>
      <c r="S428" s="9">
        <f t="shared" si="42"/>
        <v>42400.503634259258</v>
      </c>
      <c r="T428" s="9">
        <f t="shared" si="43"/>
        <v>42430.503634259258</v>
      </c>
    </row>
    <row r="429" spans="1:20" ht="43.5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0"/>
        <v>0</v>
      </c>
      <c r="P429">
        <f t="shared" si="41"/>
        <v>3250</v>
      </c>
      <c r="Q429" t="str">
        <f t="shared" si="44"/>
        <v>film &amp; video</v>
      </c>
      <c r="R429" t="str">
        <f t="shared" si="45"/>
        <v>animation</v>
      </c>
      <c r="S429" s="9">
        <f t="shared" si="42"/>
        <v>42285.700694444444</v>
      </c>
      <c r="T429" s="9">
        <f t="shared" si="43"/>
        <v>42299.582638888889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0"/>
        <v>5.6333333333333332E-2</v>
      </c>
      <c r="P430">
        <f t="shared" si="41"/>
        <v>6338</v>
      </c>
      <c r="Q430" t="str">
        <f t="shared" si="44"/>
        <v>film &amp; video</v>
      </c>
      <c r="R430" t="str">
        <f t="shared" si="45"/>
        <v>animation</v>
      </c>
      <c r="S430" s="9">
        <f t="shared" si="42"/>
        <v>41778.558391203704</v>
      </c>
      <c r="T430" s="9">
        <f t="shared" si="43"/>
        <v>41806.708333333328</v>
      </c>
    </row>
    <row r="431" spans="1:20" ht="43.5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0"/>
        <v>0</v>
      </c>
      <c r="P431">
        <f t="shared" si="41"/>
        <v>2500</v>
      </c>
      <c r="Q431" t="str">
        <f t="shared" si="44"/>
        <v>film &amp; video</v>
      </c>
      <c r="R431" t="str">
        <f t="shared" si="45"/>
        <v>animation</v>
      </c>
      <c r="S431" s="9">
        <f t="shared" si="42"/>
        <v>40070.693078703705</v>
      </c>
      <c r="T431" s="9">
        <f t="shared" si="43"/>
        <v>40143.999305555553</v>
      </c>
    </row>
    <row r="432" spans="1:20" ht="29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0"/>
        <v>2.4E-2</v>
      </c>
      <c r="P432">
        <f t="shared" si="41"/>
        <v>512</v>
      </c>
      <c r="Q432" t="str">
        <f t="shared" si="44"/>
        <v>film &amp; video</v>
      </c>
      <c r="R432" t="str">
        <f t="shared" si="45"/>
        <v>animation</v>
      </c>
      <c r="S432" s="9">
        <f t="shared" si="42"/>
        <v>41512.898923611108</v>
      </c>
      <c r="T432" s="9">
        <f t="shared" si="43"/>
        <v>41527.898923611108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0"/>
        <v>0.13833333333333334</v>
      </c>
      <c r="P433">
        <f t="shared" si="41"/>
        <v>1707.5</v>
      </c>
      <c r="Q433" t="str">
        <f t="shared" si="44"/>
        <v>film &amp; video</v>
      </c>
      <c r="R433" t="str">
        <f t="shared" si="45"/>
        <v>animation</v>
      </c>
      <c r="S433" s="9">
        <f t="shared" si="42"/>
        <v>42526.662997685184</v>
      </c>
      <c r="T433" s="9">
        <f t="shared" si="43"/>
        <v>42556.662997685184</v>
      </c>
    </row>
    <row r="434" spans="1:20" ht="43.5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0"/>
        <v>9.5000000000000001E-2</v>
      </c>
      <c r="P434">
        <f t="shared" si="41"/>
        <v>3285</v>
      </c>
      <c r="Q434" t="str">
        <f t="shared" si="44"/>
        <v>film &amp; video</v>
      </c>
      <c r="R434" t="str">
        <f t="shared" si="45"/>
        <v>animation</v>
      </c>
      <c r="S434" s="9">
        <f t="shared" si="42"/>
        <v>42238.51829861111</v>
      </c>
      <c r="T434" s="9">
        <f t="shared" si="43"/>
        <v>42298.51829861111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0"/>
        <v>0</v>
      </c>
      <c r="P435">
        <f t="shared" si="41"/>
        <v>1500</v>
      </c>
      <c r="Q435" t="str">
        <f t="shared" si="44"/>
        <v>film &amp; video</v>
      </c>
      <c r="R435" t="str">
        <f t="shared" si="45"/>
        <v>animation</v>
      </c>
      <c r="S435" s="9">
        <f t="shared" si="42"/>
        <v>42228.421550925923</v>
      </c>
      <c r="T435" s="9">
        <f t="shared" si="43"/>
        <v>42288.421550925923</v>
      </c>
    </row>
    <row r="436" spans="1:20" ht="43.5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0"/>
        <v>0.05</v>
      </c>
      <c r="P436">
        <f t="shared" si="41"/>
        <v>1312.5</v>
      </c>
      <c r="Q436" t="str">
        <f t="shared" si="44"/>
        <v>film &amp; video</v>
      </c>
      <c r="R436" t="str">
        <f t="shared" si="45"/>
        <v>animation</v>
      </c>
      <c r="S436" s="9">
        <f t="shared" si="42"/>
        <v>41576.626180555555</v>
      </c>
      <c r="T436" s="9">
        <f t="shared" si="43"/>
        <v>41609.667847222219</v>
      </c>
    </row>
    <row r="437" spans="1:20" ht="43.5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0"/>
        <v>2.7272727272727273E-5</v>
      </c>
      <c r="P437">
        <f t="shared" si="41"/>
        <v>55001.5</v>
      </c>
      <c r="Q437" t="str">
        <f t="shared" si="44"/>
        <v>film &amp; video</v>
      </c>
      <c r="R437" t="str">
        <f t="shared" si="45"/>
        <v>animation</v>
      </c>
      <c r="S437" s="9">
        <f t="shared" si="42"/>
        <v>41500.539120370369</v>
      </c>
      <c r="T437" s="9">
        <f t="shared" si="43"/>
        <v>41530.539120370369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0"/>
        <v>0</v>
      </c>
      <c r="P438">
        <f t="shared" si="41"/>
        <v>500</v>
      </c>
      <c r="Q438" t="str">
        <f t="shared" si="44"/>
        <v>film &amp; video</v>
      </c>
      <c r="R438" t="str">
        <f t="shared" si="45"/>
        <v>animation</v>
      </c>
      <c r="S438" s="9">
        <f t="shared" si="42"/>
        <v>41456.154085648144</v>
      </c>
      <c r="T438" s="9">
        <f t="shared" si="43"/>
        <v>41486.154085648144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0"/>
        <v>0</v>
      </c>
      <c r="P439">
        <f t="shared" si="41"/>
        <v>3500</v>
      </c>
      <c r="Q439" t="str">
        <f t="shared" si="44"/>
        <v>film &amp; video</v>
      </c>
      <c r="R439" t="str">
        <f t="shared" si="45"/>
        <v>animation</v>
      </c>
      <c r="S439" s="9">
        <f t="shared" si="42"/>
        <v>42591.110254629624</v>
      </c>
      <c r="T439" s="9">
        <f t="shared" si="43"/>
        <v>42651.110254629624</v>
      </c>
    </row>
    <row r="440" spans="1:20" ht="29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0"/>
        <v>9.3799999999999994E-2</v>
      </c>
      <c r="P440">
        <f t="shared" si="41"/>
        <v>10938</v>
      </c>
      <c r="Q440" t="str">
        <f t="shared" si="44"/>
        <v>film &amp; video</v>
      </c>
      <c r="R440" t="str">
        <f t="shared" si="45"/>
        <v>animation</v>
      </c>
      <c r="S440" s="9">
        <f t="shared" si="42"/>
        <v>42296.052754629629</v>
      </c>
      <c r="T440" s="9">
        <f t="shared" si="43"/>
        <v>42326.094421296293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0"/>
        <v>0</v>
      </c>
      <c r="P441">
        <f t="shared" si="41"/>
        <v>225</v>
      </c>
      <c r="Q441" t="str">
        <f t="shared" si="44"/>
        <v>film &amp; video</v>
      </c>
      <c r="R441" t="str">
        <f t="shared" si="45"/>
        <v>animation</v>
      </c>
      <c r="S441" s="9">
        <f t="shared" si="42"/>
        <v>41919.553449074076</v>
      </c>
      <c r="T441" s="9">
        <f t="shared" si="43"/>
        <v>41929.553449074076</v>
      </c>
    </row>
    <row r="442" spans="1:20" ht="29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0"/>
        <v>1E-3</v>
      </c>
      <c r="P442">
        <f t="shared" si="41"/>
        <v>2502.5</v>
      </c>
      <c r="Q442" t="str">
        <f t="shared" si="44"/>
        <v>film &amp; video</v>
      </c>
      <c r="R442" t="str">
        <f t="shared" si="45"/>
        <v>animation</v>
      </c>
      <c r="S442" s="9">
        <f t="shared" si="42"/>
        <v>42423.777233796289</v>
      </c>
      <c r="T442" s="9">
        <f t="shared" si="43"/>
        <v>42453.735567129632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0"/>
        <v>0</v>
      </c>
      <c r="P443">
        <f t="shared" si="41"/>
        <v>200</v>
      </c>
      <c r="Q443" t="str">
        <f t="shared" si="44"/>
        <v>film &amp; video</v>
      </c>
      <c r="R443" t="str">
        <f t="shared" si="45"/>
        <v>animation</v>
      </c>
      <c r="S443" s="9">
        <f t="shared" si="42"/>
        <v>41550.585601851846</v>
      </c>
      <c r="T443" s="9">
        <f t="shared" si="43"/>
        <v>41580.585601851846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0"/>
        <v>0.39358823529411763</v>
      </c>
      <c r="P444">
        <f t="shared" si="41"/>
        <v>11845.5</v>
      </c>
      <c r="Q444" t="str">
        <f t="shared" si="44"/>
        <v>film &amp; video</v>
      </c>
      <c r="R444" t="str">
        <f t="shared" si="45"/>
        <v>animation</v>
      </c>
      <c r="S444" s="9">
        <f t="shared" si="42"/>
        <v>42024.680358796293</v>
      </c>
      <c r="T444" s="9">
        <f t="shared" si="43"/>
        <v>42054.680358796293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0"/>
        <v>1E-3</v>
      </c>
      <c r="P445">
        <f t="shared" si="41"/>
        <v>5005</v>
      </c>
      <c r="Q445" t="str">
        <f t="shared" si="44"/>
        <v>film &amp; video</v>
      </c>
      <c r="R445" t="str">
        <f t="shared" si="45"/>
        <v>animation</v>
      </c>
      <c r="S445" s="9">
        <f t="shared" si="42"/>
        <v>41649.806724537033</v>
      </c>
      <c r="T445" s="9">
        <f t="shared" si="43"/>
        <v>41679.806724537033</v>
      </c>
    </row>
    <row r="446" spans="1:20" ht="29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0"/>
        <v>0.05</v>
      </c>
      <c r="P446">
        <f t="shared" si="41"/>
        <v>525</v>
      </c>
      <c r="Q446" t="str">
        <f t="shared" si="44"/>
        <v>film &amp; video</v>
      </c>
      <c r="R446" t="str">
        <f t="shared" si="45"/>
        <v>animation</v>
      </c>
      <c r="S446" s="9">
        <f t="shared" si="42"/>
        <v>40894.69862268518</v>
      </c>
      <c r="T446" s="9">
        <f t="shared" si="43"/>
        <v>40954.69862268518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0"/>
        <v>3.3333333333333335E-5</v>
      </c>
      <c r="P447">
        <f t="shared" si="41"/>
        <v>30001</v>
      </c>
      <c r="Q447" t="str">
        <f t="shared" si="44"/>
        <v>film &amp; video</v>
      </c>
      <c r="R447" t="str">
        <f t="shared" si="45"/>
        <v>animation</v>
      </c>
      <c r="S447" s="9">
        <f t="shared" si="42"/>
        <v>42130.127025462956</v>
      </c>
      <c r="T447" s="9">
        <f t="shared" si="43"/>
        <v>42145.127025462956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0"/>
        <v>7.2952380952380949E-2</v>
      </c>
      <c r="P448">
        <f t="shared" si="41"/>
        <v>5633</v>
      </c>
      <c r="Q448" t="str">
        <f t="shared" si="44"/>
        <v>film &amp; video</v>
      </c>
      <c r="R448" t="str">
        <f t="shared" si="45"/>
        <v>animation</v>
      </c>
      <c r="S448" s="9">
        <f t="shared" si="42"/>
        <v>42036.875231481477</v>
      </c>
      <c r="T448" s="9">
        <f t="shared" si="43"/>
        <v>42066.875231481477</v>
      </c>
    </row>
    <row r="449" spans="1:20" ht="43.5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0"/>
        <v>1.6666666666666666E-4</v>
      </c>
      <c r="P449">
        <f t="shared" si="41"/>
        <v>15002.5</v>
      </c>
      <c r="Q449" t="str">
        <f t="shared" si="44"/>
        <v>film &amp; video</v>
      </c>
      <c r="R449" t="str">
        <f t="shared" si="45"/>
        <v>animation</v>
      </c>
      <c r="S449" s="9">
        <f t="shared" si="42"/>
        <v>41331.34679398148</v>
      </c>
      <c r="T449" s="9">
        <f t="shared" si="43"/>
        <v>41356.305127314808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0"/>
        <v>3.2804E-2</v>
      </c>
      <c r="P450">
        <f t="shared" si="41"/>
        <v>1291.0050000000001</v>
      </c>
      <c r="Q450" t="str">
        <f t="shared" si="44"/>
        <v>film &amp; video</v>
      </c>
      <c r="R450" t="str">
        <f t="shared" si="45"/>
        <v>animation</v>
      </c>
      <c r="S450" s="9">
        <f t="shared" si="42"/>
        <v>41753.549710648142</v>
      </c>
      <c r="T450" s="9">
        <f t="shared" si="43"/>
        <v>41773.549710648142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6">E451/D451</f>
        <v>2.2499999999999999E-2</v>
      </c>
      <c r="P451">
        <f t="shared" ref="P451:P514" si="47">AVERAGE(D451:E451)</f>
        <v>1022.5</v>
      </c>
      <c r="Q451" t="str">
        <f t="shared" si="44"/>
        <v>film &amp; video</v>
      </c>
      <c r="R451" t="str">
        <f t="shared" si="45"/>
        <v>animation</v>
      </c>
      <c r="S451" s="9">
        <f t="shared" ref="S451:S514" si="48">J451/86400+25569+(-5/24)</f>
        <v>41534.359780092593</v>
      </c>
      <c r="T451" s="9">
        <f t="shared" si="43"/>
        <v>41564.359780092593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6"/>
        <v>7.92E-3</v>
      </c>
      <c r="P452">
        <f t="shared" si="47"/>
        <v>25198</v>
      </c>
      <c r="Q452" t="str">
        <f t="shared" si="44"/>
        <v>film &amp; video</v>
      </c>
      <c r="R452" t="str">
        <f t="shared" si="45"/>
        <v>animation</v>
      </c>
      <c r="S452" s="9">
        <f t="shared" si="48"/>
        <v>41654.73842592592</v>
      </c>
      <c r="T452" s="9">
        <f t="shared" ref="T452:T515" si="49">I452/86400+25569+(-5/24)</f>
        <v>41684.73842592592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6"/>
        <v>0</v>
      </c>
      <c r="P453">
        <f t="shared" si="47"/>
        <v>10000</v>
      </c>
      <c r="Q453" t="str">
        <f t="shared" si="44"/>
        <v>film &amp; video</v>
      </c>
      <c r="R453" t="str">
        <f t="shared" si="45"/>
        <v>animation</v>
      </c>
      <c r="S453" s="9">
        <f t="shared" si="48"/>
        <v>41634.506840277776</v>
      </c>
      <c r="T453" s="9">
        <f t="shared" si="49"/>
        <v>41664.506840277776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6"/>
        <v>0.64</v>
      </c>
      <c r="P454">
        <f t="shared" si="47"/>
        <v>615</v>
      </c>
      <c r="Q454" t="str">
        <f t="shared" si="44"/>
        <v>film &amp; video</v>
      </c>
      <c r="R454" t="str">
        <f t="shared" si="45"/>
        <v>animation</v>
      </c>
      <c r="S454" s="9">
        <f t="shared" si="48"/>
        <v>42107.49554398148</v>
      </c>
      <c r="T454" s="9">
        <f t="shared" si="49"/>
        <v>42137.49554398148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6"/>
        <v>2.740447957839262E-4</v>
      </c>
      <c r="P455">
        <f t="shared" si="47"/>
        <v>47450.5</v>
      </c>
      <c r="Q455" t="str">
        <f t="shared" si="44"/>
        <v>film &amp; video</v>
      </c>
      <c r="R455" t="str">
        <f t="shared" si="45"/>
        <v>animation</v>
      </c>
      <c r="S455" s="9">
        <f t="shared" si="48"/>
        <v>42038.616655092592</v>
      </c>
      <c r="T455" s="9">
        <f t="shared" si="49"/>
        <v>42054.616655092592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6"/>
        <v>8.2000000000000007E-3</v>
      </c>
      <c r="P456">
        <f t="shared" si="47"/>
        <v>5041</v>
      </c>
      <c r="Q456" t="str">
        <f t="shared" si="44"/>
        <v>film &amp; video</v>
      </c>
      <c r="R456" t="str">
        <f t="shared" si="45"/>
        <v>animation</v>
      </c>
      <c r="S456" s="9">
        <f t="shared" si="48"/>
        <v>41938.508923611109</v>
      </c>
      <c r="T456" s="9">
        <f t="shared" si="49"/>
        <v>41969.343055555553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6"/>
        <v>6.9230769230769226E-4</v>
      </c>
      <c r="P457">
        <f t="shared" si="47"/>
        <v>32522.5</v>
      </c>
      <c r="Q457" t="str">
        <f t="shared" si="44"/>
        <v>film &amp; video</v>
      </c>
      <c r="R457" t="str">
        <f t="shared" si="45"/>
        <v>animation</v>
      </c>
      <c r="S457" s="9">
        <f t="shared" si="48"/>
        <v>40970.794236111113</v>
      </c>
      <c r="T457" s="9">
        <f t="shared" si="49"/>
        <v>41015.813194444439</v>
      </c>
    </row>
    <row r="458" spans="1:20" ht="43.5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6"/>
        <v>6.8631863186318634E-3</v>
      </c>
      <c r="P458">
        <f t="shared" si="47"/>
        <v>4474.5</v>
      </c>
      <c r="Q458" t="str">
        <f t="shared" si="44"/>
        <v>film &amp; video</v>
      </c>
      <c r="R458" t="str">
        <f t="shared" si="45"/>
        <v>animation</v>
      </c>
      <c r="S458" s="9">
        <f t="shared" si="48"/>
        <v>41547.486122685186</v>
      </c>
      <c r="T458" s="9">
        <f t="shared" si="49"/>
        <v>41568.957638888889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6"/>
        <v>0</v>
      </c>
      <c r="P459">
        <f t="shared" si="47"/>
        <v>10000</v>
      </c>
      <c r="Q459" t="str">
        <f t="shared" si="44"/>
        <v>film &amp; video</v>
      </c>
      <c r="R459" t="str">
        <f t="shared" si="45"/>
        <v>animation</v>
      </c>
      <c r="S459" s="9">
        <f t="shared" si="48"/>
        <v>41837.559166666666</v>
      </c>
      <c r="T459" s="9">
        <f t="shared" si="49"/>
        <v>41867.559166666666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6"/>
        <v>8.2100000000000006E-2</v>
      </c>
      <c r="P460">
        <f t="shared" si="47"/>
        <v>5410.5</v>
      </c>
      <c r="Q460" t="str">
        <f t="shared" si="44"/>
        <v>film &amp; video</v>
      </c>
      <c r="R460" t="str">
        <f t="shared" si="45"/>
        <v>animation</v>
      </c>
      <c r="S460" s="9">
        <f t="shared" si="48"/>
        <v>41378.491435185184</v>
      </c>
      <c r="T460" s="9">
        <f t="shared" si="49"/>
        <v>41408.491435185184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6"/>
        <v>6.4102564102564103E-4</v>
      </c>
      <c r="P461">
        <f t="shared" si="47"/>
        <v>19512.5</v>
      </c>
      <c r="Q461" t="str">
        <f t="shared" si="44"/>
        <v>film &amp; video</v>
      </c>
      <c r="R461" t="str">
        <f t="shared" si="45"/>
        <v>animation</v>
      </c>
      <c r="S461" s="9">
        <f t="shared" si="48"/>
        <v>40800.432025462964</v>
      </c>
      <c r="T461" s="9">
        <f t="shared" si="49"/>
        <v>40860.473692129628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6"/>
        <v>2.9411764705882353E-3</v>
      </c>
      <c r="P462">
        <f t="shared" si="47"/>
        <v>4262.5</v>
      </c>
      <c r="Q462" t="str">
        <f t="shared" si="44"/>
        <v>film &amp; video</v>
      </c>
      <c r="R462" t="str">
        <f t="shared" si="45"/>
        <v>animation</v>
      </c>
      <c r="S462" s="9">
        <f t="shared" si="48"/>
        <v>41759.334201388883</v>
      </c>
      <c r="T462" s="9">
        <f t="shared" si="49"/>
        <v>41790.958333333328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6"/>
        <v>0</v>
      </c>
      <c r="P463">
        <f t="shared" si="47"/>
        <v>275</v>
      </c>
      <c r="Q463" t="str">
        <f t="shared" si="44"/>
        <v>film &amp; video</v>
      </c>
      <c r="R463" t="str">
        <f t="shared" si="45"/>
        <v>animation</v>
      </c>
      <c r="S463" s="9">
        <f t="shared" si="48"/>
        <v>41407.638506944444</v>
      </c>
      <c r="T463" s="9">
        <f t="shared" si="49"/>
        <v>41427.638506944444</v>
      </c>
    </row>
    <row r="464" spans="1:20" ht="43.5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6"/>
        <v>0</v>
      </c>
      <c r="P464">
        <f t="shared" si="47"/>
        <v>50000</v>
      </c>
      <c r="Q464" t="str">
        <f t="shared" si="44"/>
        <v>film &amp; video</v>
      </c>
      <c r="R464" t="str">
        <f t="shared" si="45"/>
        <v>animation</v>
      </c>
      <c r="S464" s="9">
        <f t="shared" si="48"/>
        <v>40704.918298611105</v>
      </c>
      <c r="T464" s="9">
        <f t="shared" si="49"/>
        <v>40764.918298611105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6"/>
        <v>2.2727272727272728E-2</v>
      </c>
      <c r="P465">
        <f t="shared" si="47"/>
        <v>28125</v>
      </c>
      <c r="Q465" t="str">
        <f t="shared" si="44"/>
        <v>film &amp; video</v>
      </c>
      <c r="R465" t="str">
        <f t="shared" si="45"/>
        <v>animation</v>
      </c>
      <c r="S465" s="9">
        <f t="shared" si="48"/>
        <v>40750.501770833333</v>
      </c>
      <c r="T465" s="9">
        <f t="shared" si="49"/>
        <v>40810.501770833333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6"/>
        <v>9.9009900990099011E-4</v>
      </c>
      <c r="P466">
        <f t="shared" si="47"/>
        <v>505.5</v>
      </c>
      <c r="Q466" t="str">
        <f t="shared" si="44"/>
        <v>film &amp; video</v>
      </c>
      <c r="R466" t="str">
        <f t="shared" si="45"/>
        <v>animation</v>
      </c>
      <c r="S466" s="9">
        <f t="shared" si="48"/>
        <v>42488.640451388885</v>
      </c>
      <c r="T466" s="9">
        <f t="shared" si="49"/>
        <v>42508.640451388885</v>
      </c>
    </row>
    <row r="467" spans="1:20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6"/>
        <v>0.26953125</v>
      </c>
      <c r="P467">
        <f t="shared" si="47"/>
        <v>325</v>
      </c>
      <c r="Q467" t="str">
        <f t="shared" si="44"/>
        <v>film &amp; video</v>
      </c>
      <c r="R467" t="str">
        <f t="shared" si="45"/>
        <v>animation</v>
      </c>
      <c r="S467" s="9">
        <f t="shared" si="48"/>
        <v>41800.911736111106</v>
      </c>
      <c r="T467" s="9">
        <f t="shared" si="49"/>
        <v>41816.911736111106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6"/>
        <v>7.6E-3</v>
      </c>
      <c r="P468">
        <f t="shared" si="47"/>
        <v>5038</v>
      </c>
      <c r="Q468" t="str">
        <f t="shared" si="44"/>
        <v>film &amp; video</v>
      </c>
      <c r="R468" t="str">
        <f t="shared" si="45"/>
        <v>animation</v>
      </c>
      <c r="S468" s="9">
        <f t="shared" si="48"/>
        <v>41129.734537037039</v>
      </c>
      <c r="T468" s="9">
        <f t="shared" si="49"/>
        <v>41159.734537037039</v>
      </c>
    </row>
    <row r="469" spans="1:20" ht="43.5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6"/>
        <v>0.21575</v>
      </c>
      <c r="P469">
        <f t="shared" si="47"/>
        <v>12157.5</v>
      </c>
      <c r="Q469" t="str">
        <f t="shared" si="44"/>
        <v>film &amp; video</v>
      </c>
      <c r="R469" t="str">
        <f t="shared" si="45"/>
        <v>animation</v>
      </c>
      <c r="S469" s="9">
        <f t="shared" si="48"/>
        <v>41135.471458333333</v>
      </c>
      <c r="T469" s="9">
        <f t="shared" si="49"/>
        <v>41180.471458333333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6"/>
        <v>0</v>
      </c>
      <c r="P470">
        <f t="shared" si="47"/>
        <v>3750</v>
      </c>
      <c r="Q470" t="str">
        <f t="shared" si="44"/>
        <v>film &amp; video</v>
      </c>
      <c r="R470" t="str">
        <f t="shared" si="45"/>
        <v>animation</v>
      </c>
      <c r="S470" s="9">
        <f t="shared" si="48"/>
        <v>41040.959293981483</v>
      </c>
      <c r="T470" s="9">
        <f t="shared" si="49"/>
        <v>41100.952141203699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6"/>
        <v>0</v>
      </c>
      <c r="P471">
        <f t="shared" si="47"/>
        <v>3000</v>
      </c>
      <c r="Q471" t="str">
        <f t="shared" si="44"/>
        <v>film &amp; video</v>
      </c>
      <c r="R471" t="str">
        <f t="shared" si="45"/>
        <v>animation</v>
      </c>
      <c r="S471" s="9">
        <f t="shared" si="48"/>
        <v>41827.781527777777</v>
      </c>
      <c r="T471" s="9">
        <f t="shared" si="49"/>
        <v>41887.781527777777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6"/>
        <v>1.0200000000000001E-2</v>
      </c>
      <c r="P472">
        <f t="shared" si="47"/>
        <v>2525.5</v>
      </c>
      <c r="Q472" t="str">
        <f t="shared" si="44"/>
        <v>film &amp; video</v>
      </c>
      <c r="R472" t="str">
        <f t="shared" si="45"/>
        <v>animation</v>
      </c>
      <c r="S472" s="9">
        <f t="shared" si="48"/>
        <v>41604.959363425922</v>
      </c>
      <c r="T472" s="9">
        <f t="shared" si="49"/>
        <v>41654.958333333328</v>
      </c>
    </row>
    <row r="473" spans="1:20" ht="43.5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6"/>
        <v>0.11892727272727273</v>
      </c>
      <c r="P473">
        <f t="shared" si="47"/>
        <v>30770.5</v>
      </c>
      <c r="Q473" t="str">
        <f t="shared" si="44"/>
        <v>film &amp; video</v>
      </c>
      <c r="R473" t="str">
        <f t="shared" si="45"/>
        <v>animation</v>
      </c>
      <c r="S473" s="9">
        <f t="shared" si="48"/>
        <v>41703.513645833329</v>
      </c>
      <c r="T473" s="9">
        <f t="shared" si="49"/>
        <v>41748.471979166665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6"/>
        <v>0.17624999999999999</v>
      </c>
      <c r="P474">
        <f t="shared" si="47"/>
        <v>470.5</v>
      </c>
      <c r="Q474" t="str">
        <f t="shared" si="44"/>
        <v>film &amp; video</v>
      </c>
      <c r="R474" t="str">
        <f t="shared" si="45"/>
        <v>animation</v>
      </c>
      <c r="S474" s="9">
        <f t="shared" si="48"/>
        <v>41844.714328703703</v>
      </c>
      <c r="T474" s="9">
        <f t="shared" si="49"/>
        <v>41874.714328703703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6"/>
        <v>2.87E-2</v>
      </c>
      <c r="P475">
        <f t="shared" si="47"/>
        <v>15430.5</v>
      </c>
      <c r="Q475" t="str">
        <f t="shared" si="44"/>
        <v>film &amp; video</v>
      </c>
      <c r="R475" t="str">
        <f t="shared" si="45"/>
        <v>animation</v>
      </c>
      <c r="S475" s="9">
        <f t="shared" si="48"/>
        <v>41869.489803240736</v>
      </c>
      <c r="T475" s="9">
        <f t="shared" si="49"/>
        <v>41899.489803240736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6"/>
        <v>3.0303030303030303E-4</v>
      </c>
      <c r="P476">
        <f t="shared" si="47"/>
        <v>1650.5</v>
      </c>
      <c r="Q476" t="str">
        <f t="shared" si="44"/>
        <v>film &amp; video</v>
      </c>
      <c r="R476" t="str">
        <f t="shared" si="45"/>
        <v>animation</v>
      </c>
      <c r="S476" s="9">
        <f t="shared" si="48"/>
        <v>42753.120706018519</v>
      </c>
      <c r="T476" s="9">
        <f t="shared" si="49"/>
        <v>42783.120706018519</v>
      </c>
    </row>
    <row r="477" spans="1:20" ht="43.5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6"/>
        <v>0</v>
      </c>
      <c r="P477">
        <f t="shared" si="47"/>
        <v>1000</v>
      </c>
      <c r="Q477" t="str">
        <f t="shared" si="44"/>
        <v>film &amp; video</v>
      </c>
      <c r="R477" t="str">
        <f t="shared" si="45"/>
        <v>animation</v>
      </c>
      <c r="S477" s="9">
        <f t="shared" si="48"/>
        <v>42099.877812500003</v>
      </c>
      <c r="T477" s="9">
        <f t="shared" si="49"/>
        <v>42129.877812500003</v>
      </c>
    </row>
    <row r="478" spans="1:20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6"/>
        <v>2.2302681818181819E-2</v>
      </c>
      <c r="P478">
        <f t="shared" si="47"/>
        <v>112453.295</v>
      </c>
      <c r="Q478" t="str">
        <f t="shared" si="44"/>
        <v>film &amp; video</v>
      </c>
      <c r="R478" t="str">
        <f t="shared" si="45"/>
        <v>animation</v>
      </c>
      <c r="S478" s="9">
        <f t="shared" si="48"/>
        <v>41757.76667824074</v>
      </c>
      <c r="T478" s="9">
        <f t="shared" si="49"/>
        <v>41792.957638888889</v>
      </c>
    </row>
    <row r="479" spans="1:20" ht="43.5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6"/>
        <v>0</v>
      </c>
      <c r="P479">
        <f t="shared" si="47"/>
        <v>750</v>
      </c>
      <c r="Q479" t="str">
        <f t="shared" si="44"/>
        <v>film &amp; video</v>
      </c>
      <c r="R479" t="str">
        <f t="shared" si="45"/>
        <v>animation</v>
      </c>
      <c r="S479" s="9">
        <f t="shared" si="48"/>
        <v>40987.626550925925</v>
      </c>
      <c r="T479" s="9">
        <f t="shared" si="49"/>
        <v>41047.626550925925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6"/>
        <v>0</v>
      </c>
      <c r="P480">
        <f t="shared" si="47"/>
        <v>5000</v>
      </c>
      <c r="Q480" t="str">
        <f t="shared" si="44"/>
        <v>film &amp; video</v>
      </c>
      <c r="R480" t="str">
        <f t="shared" si="45"/>
        <v>animation</v>
      </c>
      <c r="S480" s="9">
        <f t="shared" si="48"/>
        <v>42065.702650462961</v>
      </c>
      <c r="T480" s="9">
        <f t="shared" si="49"/>
        <v>42095.660983796297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6"/>
        <v>0.3256</v>
      </c>
      <c r="P481">
        <f t="shared" si="47"/>
        <v>9942</v>
      </c>
      <c r="Q481" t="str">
        <f t="shared" si="44"/>
        <v>film &amp; video</v>
      </c>
      <c r="R481" t="str">
        <f t="shared" si="45"/>
        <v>animation</v>
      </c>
      <c r="S481" s="9">
        <f t="shared" si="48"/>
        <v>41904.199479166666</v>
      </c>
      <c r="T481" s="9">
        <f t="shared" si="49"/>
        <v>41964.24114583333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6"/>
        <v>0.19409999999999999</v>
      </c>
      <c r="P482">
        <f t="shared" si="47"/>
        <v>23882</v>
      </c>
      <c r="Q482" t="str">
        <f t="shared" si="44"/>
        <v>film &amp; video</v>
      </c>
      <c r="R482" t="str">
        <f t="shared" si="45"/>
        <v>animation</v>
      </c>
      <c r="S482" s="9">
        <f t="shared" si="48"/>
        <v>41465.29184027778</v>
      </c>
      <c r="T482" s="9">
        <f t="shared" si="49"/>
        <v>41495.29184027778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6"/>
        <v>6.0999999999999999E-2</v>
      </c>
      <c r="P483">
        <f t="shared" si="47"/>
        <v>15915</v>
      </c>
      <c r="Q483" t="str">
        <f t="shared" si="44"/>
        <v>film &amp; video</v>
      </c>
      <c r="R483" t="str">
        <f t="shared" si="45"/>
        <v>animation</v>
      </c>
      <c r="S483" s="9">
        <f t="shared" si="48"/>
        <v>41162.46399305555</v>
      </c>
      <c r="T483" s="9">
        <f t="shared" si="49"/>
        <v>41192.46399305555</v>
      </c>
    </row>
    <row r="484" spans="1:20" ht="29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6"/>
        <v>1E-3</v>
      </c>
      <c r="P484">
        <f t="shared" si="47"/>
        <v>5005</v>
      </c>
      <c r="Q484" t="str">
        <f t="shared" si="44"/>
        <v>film &amp; video</v>
      </c>
      <c r="R484" t="str">
        <f t="shared" si="45"/>
        <v>animation</v>
      </c>
      <c r="S484" s="9">
        <f t="shared" si="48"/>
        <v>42447.688541666663</v>
      </c>
      <c r="T484" s="9">
        <f t="shared" si="49"/>
        <v>42474.398611111108</v>
      </c>
    </row>
    <row r="485" spans="1:20" ht="43.5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6"/>
        <v>0.502</v>
      </c>
      <c r="P485">
        <f t="shared" si="47"/>
        <v>11265</v>
      </c>
      <c r="Q485" t="str">
        <f t="shared" si="44"/>
        <v>film &amp; video</v>
      </c>
      <c r="R485" t="str">
        <f t="shared" si="45"/>
        <v>animation</v>
      </c>
      <c r="S485" s="9">
        <f t="shared" si="48"/>
        <v>41242.989259259259</v>
      </c>
      <c r="T485" s="9">
        <f t="shared" si="49"/>
        <v>41302.989259259259</v>
      </c>
    </row>
    <row r="486" spans="1:20" ht="43.5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6"/>
        <v>1.8625E-3</v>
      </c>
      <c r="P486">
        <f t="shared" si="47"/>
        <v>40074.5</v>
      </c>
      <c r="Q486" t="str">
        <f t="shared" si="44"/>
        <v>film &amp; video</v>
      </c>
      <c r="R486" t="str">
        <f t="shared" si="45"/>
        <v>animation</v>
      </c>
      <c r="S486" s="9">
        <f t="shared" si="48"/>
        <v>42272.731157407405</v>
      </c>
      <c r="T486" s="9">
        <f t="shared" si="49"/>
        <v>42313.772824074076</v>
      </c>
    </row>
    <row r="487" spans="1:20" ht="29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6"/>
        <v>0.21906971229845085</v>
      </c>
      <c r="P487">
        <f t="shared" si="47"/>
        <v>23135.505000000001</v>
      </c>
      <c r="Q487" t="str">
        <f t="shared" si="44"/>
        <v>film &amp; video</v>
      </c>
      <c r="R487" t="str">
        <f t="shared" si="45"/>
        <v>animation</v>
      </c>
      <c r="S487" s="9">
        <f t="shared" si="48"/>
        <v>41381.297442129631</v>
      </c>
      <c r="T487" s="9">
        <f t="shared" si="49"/>
        <v>41411.297442129631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6"/>
        <v>9.0909090909090904E-5</v>
      </c>
      <c r="P488">
        <f t="shared" si="47"/>
        <v>275025</v>
      </c>
      <c r="Q488" t="str">
        <f t="shared" ref="Q488:Q520" si="50">IF(N488="film &amp; video/animation","film &amp; video")</f>
        <v>film &amp; video</v>
      </c>
      <c r="R488" t="str">
        <f t="shared" ref="R488:R520" si="51">IF(N488="film &amp; video/animation","animation")</f>
        <v>animation</v>
      </c>
      <c r="S488" s="9">
        <f t="shared" si="48"/>
        <v>41761.734247685185</v>
      </c>
      <c r="T488" s="9">
        <f t="shared" si="49"/>
        <v>41791.734247685185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6"/>
        <v>0</v>
      </c>
      <c r="P489">
        <f t="shared" si="47"/>
        <v>25000</v>
      </c>
      <c r="Q489" t="str">
        <f t="shared" si="50"/>
        <v>film &amp; video</v>
      </c>
      <c r="R489" t="str">
        <f t="shared" si="51"/>
        <v>animation</v>
      </c>
      <c r="S489" s="9">
        <f t="shared" si="48"/>
        <v>42669.386504629627</v>
      </c>
      <c r="T489" s="9">
        <f t="shared" si="49"/>
        <v>42729.428171296291</v>
      </c>
    </row>
    <row r="490" spans="1:20" ht="29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6"/>
        <v>0</v>
      </c>
      <c r="P490">
        <f t="shared" si="47"/>
        <v>6000</v>
      </c>
      <c r="Q490" t="str">
        <f t="shared" si="50"/>
        <v>film &amp; video</v>
      </c>
      <c r="R490" t="str">
        <f t="shared" si="51"/>
        <v>animation</v>
      </c>
      <c r="S490" s="9">
        <f t="shared" si="48"/>
        <v>42713.84606481481</v>
      </c>
      <c r="T490" s="9">
        <f t="shared" si="49"/>
        <v>42743.84606481481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6"/>
        <v>2.8667813379201833E-3</v>
      </c>
      <c r="P491">
        <f t="shared" si="47"/>
        <v>37606</v>
      </c>
      <c r="Q491" t="str">
        <f t="shared" si="50"/>
        <v>film &amp; video</v>
      </c>
      <c r="R491" t="str">
        <f t="shared" si="51"/>
        <v>animation</v>
      </c>
      <c r="S491" s="9">
        <f t="shared" si="48"/>
        <v>40882.273333333331</v>
      </c>
      <c r="T491" s="9">
        <f t="shared" si="49"/>
        <v>40913.272916666661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6"/>
        <v>0</v>
      </c>
      <c r="P492">
        <f t="shared" si="47"/>
        <v>500</v>
      </c>
      <c r="Q492" t="str">
        <f t="shared" si="50"/>
        <v>film &amp; video</v>
      </c>
      <c r="R492" t="str">
        <f t="shared" si="51"/>
        <v>animation</v>
      </c>
      <c r="S492" s="9">
        <f t="shared" si="48"/>
        <v>41113.760243055549</v>
      </c>
      <c r="T492" s="9">
        <f t="shared" si="49"/>
        <v>41143.760243055549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6"/>
        <v>0</v>
      </c>
      <c r="P493">
        <f t="shared" si="47"/>
        <v>5000</v>
      </c>
      <c r="Q493" t="str">
        <f t="shared" si="50"/>
        <v>film &amp; video</v>
      </c>
      <c r="R493" t="str">
        <f t="shared" si="51"/>
        <v>animation</v>
      </c>
      <c r="S493" s="9">
        <f t="shared" si="48"/>
        <v>42366.774293981478</v>
      </c>
      <c r="T493" s="9">
        <f t="shared" si="49"/>
        <v>42396.774293981478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6"/>
        <v>0</v>
      </c>
      <c r="P494">
        <f t="shared" si="47"/>
        <v>5000000</v>
      </c>
      <c r="Q494" t="str">
        <f t="shared" si="50"/>
        <v>film &amp; video</v>
      </c>
      <c r="R494" t="str">
        <f t="shared" si="51"/>
        <v>animation</v>
      </c>
      <c r="S494" s="9">
        <f t="shared" si="48"/>
        <v>42595.826736111114</v>
      </c>
      <c r="T494" s="9">
        <f t="shared" si="49"/>
        <v>42655.826736111114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6"/>
        <v>0</v>
      </c>
      <c r="P495">
        <f t="shared" si="47"/>
        <v>15000</v>
      </c>
      <c r="Q495" t="str">
        <f t="shared" si="50"/>
        <v>film &amp; video</v>
      </c>
      <c r="R495" t="str">
        <f t="shared" si="51"/>
        <v>animation</v>
      </c>
      <c r="S495" s="9">
        <f t="shared" si="48"/>
        <v>42114.517800925925</v>
      </c>
      <c r="T495" s="9">
        <f t="shared" si="49"/>
        <v>42144.517800925925</v>
      </c>
    </row>
    <row r="496" spans="1:20" ht="43.5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6"/>
        <v>1.5499999999999999E-3</v>
      </c>
      <c r="P496">
        <f t="shared" si="47"/>
        <v>10015.5</v>
      </c>
      <c r="Q496" t="str">
        <f t="shared" si="50"/>
        <v>film &amp; video</v>
      </c>
      <c r="R496" t="str">
        <f t="shared" si="51"/>
        <v>animation</v>
      </c>
      <c r="S496" s="9">
        <f t="shared" si="48"/>
        <v>41799.62228009259</v>
      </c>
      <c r="T496" s="9">
        <f t="shared" si="49"/>
        <v>41822.916666666664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6"/>
        <v>0</v>
      </c>
      <c r="P497">
        <f t="shared" si="47"/>
        <v>3500</v>
      </c>
      <c r="Q497" t="str">
        <f t="shared" si="50"/>
        <v>film &amp; video</v>
      </c>
      <c r="R497" t="str">
        <f t="shared" si="51"/>
        <v>animation</v>
      </c>
      <c r="S497" s="9">
        <f t="shared" si="48"/>
        <v>42171.619270833333</v>
      </c>
      <c r="T497" s="9">
        <f t="shared" si="49"/>
        <v>42201.619270833333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6"/>
        <v>1.6666666666666667E-5</v>
      </c>
      <c r="P498">
        <f t="shared" si="47"/>
        <v>30000.5</v>
      </c>
      <c r="Q498" t="str">
        <f t="shared" si="50"/>
        <v>film &amp; video</v>
      </c>
      <c r="R498" t="str">
        <f t="shared" si="51"/>
        <v>animation</v>
      </c>
      <c r="S498" s="9">
        <f t="shared" si="48"/>
        <v>41620.723078703704</v>
      </c>
      <c r="T498" s="9">
        <f t="shared" si="49"/>
        <v>41680.723078703704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6"/>
        <v>6.6964285714285711E-3</v>
      </c>
      <c r="P499">
        <f t="shared" si="47"/>
        <v>2255</v>
      </c>
      <c r="Q499" t="str">
        <f t="shared" si="50"/>
        <v>film &amp; video</v>
      </c>
      <c r="R499" t="str">
        <f t="shared" si="51"/>
        <v>animation</v>
      </c>
      <c r="S499" s="9">
        <f t="shared" si="48"/>
        <v>41944.829456018517</v>
      </c>
      <c r="T499" s="9">
        <f t="shared" si="49"/>
        <v>41997.999999999993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6"/>
        <v>4.5985132395404561E-2</v>
      </c>
      <c r="P500">
        <f t="shared" si="47"/>
        <v>34051</v>
      </c>
      <c r="Q500" t="str">
        <f t="shared" si="50"/>
        <v>film &amp; video</v>
      </c>
      <c r="R500" t="str">
        <f t="shared" si="51"/>
        <v>animation</v>
      </c>
      <c r="S500" s="9">
        <f t="shared" si="48"/>
        <v>40858.553807870368</v>
      </c>
      <c r="T500" s="9">
        <f t="shared" si="49"/>
        <v>40900.553807870368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6"/>
        <v>9.5500000000000002E-2</v>
      </c>
      <c r="P501">
        <f t="shared" si="47"/>
        <v>10955</v>
      </c>
      <c r="Q501" t="str">
        <f t="shared" si="50"/>
        <v>film &amp; video</v>
      </c>
      <c r="R501" t="str">
        <f t="shared" si="51"/>
        <v>animation</v>
      </c>
      <c r="S501" s="9">
        <f t="shared" si="48"/>
        <v>40043.687129629623</v>
      </c>
      <c r="T501" s="9">
        <f t="shared" si="49"/>
        <v>40098.665972222218</v>
      </c>
    </row>
    <row r="502" spans="1:20" ht="43.5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6"/>
        <v>3.307692307692308E-2</v>
      </c>
      <c r="P502">
        <f t="shared" si="47"/>
        <v>3357.5</v>
      </c>
      <c r="Q502" t="str">
        <f t="shared" si="50"/>
        <v>film &amp; video</v>
      </c>
      <c r="R502" t="str">
        <f t="shared" si="51"/>
        <v>animation</v>
      </c>
      <c r="S502" s="9">
        <f t="shared" si="48"/>
        <v>40247.677673611106</v>
      </c>
      <c r="T502" s="9">
        <f t="shared" si="49"/>
        <v>40306.719444444439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6"/>
        <v>0</v>
      </c>
      <c r="P503">
        <f t="shared" si="47"/>
        <v>5000</v>
      </c>
      <c r="Q503" t="str">
        <f t="shared" si="50"/>
        <v>film &amp; video</v>
      </c>
      <c r="R503" t="str">
        <f t="shared" si="51"/>
        <v>animation</v>
      </c>
      <c r="S503" s="9">
        <f t="shared" si="48"/>
        <v>40703.026053240741</v>
      </c>
      <c r="T503" s="9">
        <f t="shared" si="49"/>
        <v>40733.026053240741</v>
      </c>
    </row>
    <row r="504" spans="1:20" ht="43.5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6"/>
        <v>1.15E-2</v>
      </c>
      <c r="P504">
        <f t="shared" si="47"/>
        <v>10115</v>
      </c>
      <c r="Q504" t="str">
        <f t="shared" si="50"/>
        <v>film &amp; video</v>
      </c>
      <c r="R504" t="str">
        <f t="shared" si="51"/>
        <v>animation</v>
      </c>
      <c r="S504" s="9">
        <f t="shared" si="48"/>
        <v>40956.345196759255</v>
      </c>
      <c r="T504" s="9">
        <f t="shared" si="49"/>
        <v>40986.303530092591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6"/>
        <v>1.7538461538461537E-2</v>
      </c>
      <c r="P505">
        <f t="shared" si="47"/>
        <v>3307</v>
      </c>
      <c r="Q505" t="str">
        <f t="shared" si="50"/>
        <v>film &amp; video</v>
      </c>
      <c r="R505" t="str">
        <f t="shared" si="51"/>
        <v>animation</v>
      </c>
      <c r="S505" s="9">
        <f t="shared" si="48"/>
        <v>41991.318321759252</v>
      </c>
      <c r="T505" s="9">
        <f t="shared" si="49"/>
        <v>42021.318321759252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6"/>
        <v>1.3673469387755101E-2</v>
      </c>
      <c r="P506">
        <f t="shared" si="47"/>
        <v>12417.5</v>
      </c>
      <c r="Q506" t="str">
        <f t="shared" si="50"/>
        <v>film &amp; video</v>
      </c>
      <c r="R506" t="str">
        <f t="shared" si="51"/>
        <v>animation</v>
      </c>
      <c r="S506" s="9">
        <f t="shared" si="48"/>
        <v>40949.775312499994</v>
      </c>
      <c r="T506" s="9">
        <f t="shared" si="49"/>
        <v>41009.73364583333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6"/>
        <v>4.3333333333333331E-3</v>
      </c>
      <c r="P507">
        <f t="shared" si="47"/>
        <v>6026</v>
      </c>
      <c r="Q507" t="str">
        <f t="shared" si="50"/>
        <v>film &amp; video</v>
      </c>
      <c r="R507" t="str">
        <f t="shared" si="51"/>
        <v>animation</v>
      </c>
      <c r="S507" s="9">
        <f t="shared" si="48"/>
        <v>42317.889884259253</v>
      </c>
      <c r="T507" s="9">
        <f t="shared" si="49"/>
        <v>42362.889884259253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6"/>
        <v>1.25E-3</v>
      </c>
      <c r="P508">
        <f t="shared" si="47"/>
        <v>100125</v>
      </c>
      <c r="Q508" t="str">
        <f t="shared" si="50"/>
        <v>film &amp; video</v>
      </c>
      <c r="R508" t="str">
        <f t="shared" si="51"/>
        <v>animation</v>
      </c>
      <c r="S508" s="9">
        <f t="shared" si="48"/>
        <v>41466.343981481477</v>
      </c>
      <c r="T508" s="9">
        <f t="shared" si="49"/>
        <v>41496.343981481477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6"/>
        <v>3.2000000000000001E-2</v>
      </c>
      <c r="P509">
        <f t="shared" si="47"/>
        <v>10320</v>
      </c>
      <c r="Q509" t="str">
        <f t="shared" si="50"/>
        <v>film &amp; video</v>
      </c>
      <c r="R509" t="str">
        <f t="shared" si="51"/>
        <v>animation</v>
      </c>
      <c r="S509" s="9">
        <f t="shared" si="48"/>
        <v>41156.750659722216</v>
      </c>
      <c r="T509" s="9">
        <f t="shared" si="49"/>
        <v>41201.750659722216</v>
      </c>
    </row>
    <row r="510" spans="1:20" ht="43.5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6"/>
        <v>8.0000000000000002E-3</v>
      </c>
      <c r="P510">
        <f t="shared" si="47"/>
        <v>25200</v>
      </c>
      <c r="Q510" t="str">
        <f t="shared" si="50"/>
        <v>film &amp; video</v>
      </c>
      <c r="R510" t="str">
        <f t="shared" si="51"/>
        <v>animation</v>
      </c>
      <c r="S510" s="9">
        <f t="shared" si="48"/>
        <v>40994.815983796296</v>
      </c>
      <c r="T510" s="9">
        <f t="shared" si="49"/>
        <v>41054.384722222218</v>
      </c>
    </row>
    <row r="511" spans="1:20" ht="29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6"/>
        <v>2E-3</v>
      </c>
      <c r="P511">
        <f t="shared" si="47"/>
        <v>2505</v>
      </c>
      <c r="Q511" t="str">
        <f t="shared" si="50"/>
        <v>film &amp; video</v>
      </c>
      <c r="R511" t="str">
        <f t="shared" si="51"/>
        <v>animation</v>
      </c>
      <c r="S511" s="9">
        <f t="shared" si="48"/>
        <v>42153.423263888886</v>
      </c>
      <c r="T511" s="9">
        <f t="shared" si="49"/>
        <v>42183.423263888886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6"/>
        <v>0</v>
      </c>
      <c r="P512">
        <f t="shared" si="47"/>
        <v>7000</v>
      </c>
      <c r="Q512" t="str">
        <f t="shared" si="50"/>
        <v>film &amp; video</v>
      </c>
      <c r="R512" t="str">
        <f t="shared" si="51"/>
        <v>animation</v>
      </c>
      <c r="S512" s="9">
        <f t="shared" si="48"/>
        <v>42399.968043981477</v>
      </c>
      <c r="T512" s="9">
        <f t="shared" si="49"/>
        <v>42429.968043981477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6"/>
        <v>0.03</v>
      </c>
      <c r="P513">
        <f t="shared" si="47"/>
        <v>2575</v>
      </c>
      <c r="Q513" t="str">
        <f t="shared" si="50"/>
        <v>film &amp; video</v>
      </c>
      <c r="R513" t="str">
        <f t="shared" si="51"/>
        <v>animation</v>
      </c>
      <c r="S513" s="9">
        <f t="shared" si="48"/>
        <v>41340.09469907407</v>
      </c>
      <c r="T513" s="9">
        <f t="shared" si="49"/>
        <v>41370.053032407406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6"/>
        <v>1.3749999999999999E-3</v>
      </c>
      <c r="P514">
        <f t="shared" si="47"/>
        <v>4005.5</v>
      </c>
      <c r="Q514" t="str">
        <f t="shared" si="50"/>
        <v>film &amp; video</v>
      </c>
      <c r="R514" t="str">
        <f t="shared" si="51"/>
        <v>animation</v>
      </c>
      <c r="S514" s="9">
        <f t="shared" si="48"/>
        <v>42649.533877314818</v>
      </c>
      <c r="T514" s="9">
        <f t="shared" si="49"/>
        <v>42694.575543981475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2">E515/D515</f>
        <v>0.13924</v>
      </c>
      <c r="P515">
        <f t="shared" ref="P515:P578" si="53">AVERAGE(D515:E515)</f>
        <v>28481</v>
      </c>
      <c r="Q515" t="str">
        <f t="shared" si="50"/>
        <v>film &amp; video</v>
      </c>
      <c r="R515" t="str">
        <f t="shared" si="51"/>
        <v>animation</v>
      </c>
      <c r="S515" s="9">
        <f t="shared" ref="S515:S578" si="54">J515/86400+25569+(-5/24)</f>
        <v>42552.445659722223</v>
      </c>
      <c r="T515" s="9">
        <f t="shared" si="49"/>
        <v>42597.083333333336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2"/>
        <v>3.3333333333333333E-2</v>
      </c>
      <c r="P516">
        <f t="shared" si="53"/>
        <v>775</v>
      </c>
      <c r="Q516" t="str">
        <f t="shared" si="50"/>
        <v>film &amp; video</v>
      </c>
      <c r="R516" t="str">
        <f t="shared" si="51"/>
        <v>animation</v>
      </c>
      <c r="S516" s="9">
        <f t="shared" si="54"/>
        <v>41830.405636574069</v>
      </c>
      <c r="T516" s="9">
        <f t="shared" ref="T516:T579" si="55">I516/86400+25569+(-5/24)</f>
        <v>41860.405636574069</v>
      </c>
    </row>
    <row r="517" spans="1:20" ht="29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2"/>
        <v>0.25413402061855672</v>
      </c>
      <c r="P517">
        <f t="shared" si="53"/>
        <v>60825.5</v>
      </c>
      <c r="Q517" t="str">
        <f t="shared" si="50"/>
        <v>film &amp; video</v>
      </c>
      <c r="R517" t="str">
        <f t="shared" si="51"/>
        <v>animation</v>
      </c>
      <c r="S517" s="9">
        <f t="shared" si="54"/>
        <v>42327.282418981478</v>
      </c>
      <c r="T517" s="9">
        <f t="shared" si="55"/>
        <v>42367.282418981478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2"/>
        <v>0</v>
      </c>
      <c r="P518">
        <f t="shared" si="53"/>
        <v>2500</v>
      </c>
      <c r="Q518" t="str">
        <f t="shared" si="50"/>
        <v>film &amp; video</v>
      </c>
      <c r="R518" t="str">
        <f t="shared" si="51"/>
        <v>animation</v>
      </c>
      <c r="S518" s="9">
        <f t="shared" si="54"/>
        <v>42091.570370370369</v>
      </c>
      <c r="T518" s="9">
        <f t="shared" si="55"/>
        <v>42151.570370370369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2"/>
        <v>1.3666666666666667E-2</v>
      </c>
      <c r="P519">
        <f t="shared" si="53"/>
        <v>7602.5</v>
      </c>
      <c r="Q519" t="str">
        <f t="shared" si="50"/>
        <v>film &amp; video</v>
      </c>
      <c r="R519" t="str">
        <f t="shared" si="51"/>
        <v>animation</v>
      </c>
      <c r="S519" s="9">
        <f t="shared" si="54"/>
        <v>42738.406956018516</v>
      </c>
      <c r="T519" s="9">
        <f t="shared" si="55"/>
        <v>42768.406956018516</v>
      </c>
    </row>
    <row r="520" spans="1:20" ht="43.5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2"/>
        <v>0</v>
      </c>
      <c r="P520">
        <f t="shared" si="53"/>
        <v>3587.5</v>
      </c>
      <c r="Q520" t="str">
        <f t="shared" si="50"/>
        <v>film &amp; video</v>
      </c>
      <c r="R520" t="str">
        <f t="shared" si="51"/>
        <v>animation</v>
      </c>
      <c r="S520" s="9">
        <f t="shared" si="54"/>
        <v>42223.407685185179</v>
      </c>
      <c r="T520" s="9">
        <f t="shared" si="55"/>
        <v>42253.406944444439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2"/>
        <v>0.22881426547787684</v>
      </c>
      <c r="P521">
        <f t="shared" si="53"/>
        <v>7373.5</v>
      </c>
      <c r="Q521" t="str">
        <f>IF(N521="film &amp; video/animation","film &amp; video")</f>
        <v>film &amp; video</v>
      </c>
      <c r="R521" t="str">
        <f>IF(N521="film &amp; video/animation","animation")</f>
        <v>animation</v>
      </c>
      <c r="S521" s="9">
        <f t="shared" si="54"/>
        <v>41218.183113425919</v>
      </c>
      <c r="T521" s="9">
        <f t="shared" si="55"/>
        <v>41248.183113425919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2"/>
        <v>1.0209999999999999</v>
      </c>
      <c r="P522">
        <f t="shared" si="53"/>
        <v>5052.5</v>
      </c>
      <c r="Q522" t="str">
        <f>IF(N522="theater/plays","theater")</f>
        <v>theater</v>
      </c>
      <c r="R522" t="str">
        <f>IF(N522="theater/plays","plays")</f>
        <v>plays</v>
      </c>
      <c r="S522" s="9">
        <f t="shared" si="54"/>
        <v>42318.493761574071</v>
      </c>
      <c r="T522" s="9">
        <f t="shared" si="55"/>
        <v>42348.493761574071</v>
      </c>
    </row>
    <row r="523" spans="1:20" ht="43.5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2"/>
        <v>1.0464</v>
      </c>
      <c r="P523">
        <f t="shared" si="53"/>
        <v>5116</v>
      </c>
      <c r="Q523" t="str">
        <f>IF(N523="theater/plays","theater")</f>
        <v>theater</v>
      </c>
      <c r="R523" t="str">
        <f>IF(N523="theater/plays","plays")</f>
        <v>plays</v>
      </c>
      <c r="S523" s="9">
        <f t="shared" si="54"/>
        <v>42645.884479166663</v>
      </c>
      <c r="T523" s="9">
        <f t="shared" si="55"/>
        <v>42674.999305555553</v>
      </c>
    </row>
    <row r="524" spans="1:20" ht="29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2"/>
        <v>1.1466666666666667</v>
      </c>
      <c r="P524">
        <f t="shared" si="53"/>
        <v>3220</v>
      </c>
      <c r="Q524" t="str">
        <f t="shared" ref="Q524:Q540" si="56">IF(N524="theater/plays","theater")</f>
        <v>theater</v>
      </c>
      <c r="R524" t="str">
        <f t="shared" ref="R524:R540" si="57">IF(N524="theater/plays","plays")</f>
        <v>plays</v>
      </c>
      <c r="S524" s="9">
        <f t="shared" si="54"/>
        <v>42429.832465277774</v>
      </c>
      <c r="T524" s="9">
        <f t="shared" si="55"/>
        <v>42449.790798611109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2"/>
        <v>1.206</v>
      </c>
      <c r="P525">
        <f t="shared" si="53"/>
        <v>5515</v>
      </c>
      <c r="Q525" t="str">
        <f t="shared" si="56"/>
        <v>theater</v>
      </c>
      <c r="R525" t="str">
        <f t="shared" si="57"/>
        <v>plays</v>
      </c>
      <c r="S525" s="9">
        <f t="shared" si="54"/>
        <v>42237.924490740734</v>
      </c>
      <c r="T525" s="9">
        <f t="shared" si="55"/>
        <v>42267.924490740734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2"/>
        <v>1.0867285714285715</v>
      </c>
      <c r="P526">
        <f t="shared" si="53"/>
        <v>3651.7750000000001</v>
      </c>
      <c r="Q526" t="str">
        <f t="shared" si="56"/>
        <v>theater</v>
      </c>
      <c r="R526" t="str">
        <f t="shared" si="57"/>
        <v>plays</v>
      </c>
      <c r="S526" s="9">
        <f t="shared" si="54"/>
        <v>42492.508900462963</v>
      </c>
      <c r="T526" s="9">
        <f t="shared" si="55"/>
        <v>42522.508900462963</v>
      </c>
    </row>
    <row r="527" spans="1:20" ht="43.5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2"/>
        <v>1</v>
      </c>
      <c r="P527">
        <f t="shared" si="53"/>
        <v>12000</v>
      </c>
      <c r="Q527" t="str">
        <f t="shared" si="56"/>
        <v>theater</v>
      </c>
      <c r="R527" t="str">
        <f t="shared" si="57"/>
        <v>plays</v>
      </c>
      <c r="S527" s="9">
        <f t="shared" si="54"/>
        <v>41850.192604166667</v>
      </c>
      <c r="T527" s="9">
        <f t="shared" si="55"/>
        <v>41895.192604166667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2"/>
        <v>1.1399999999999999</v>
      </c>
      <c r="P528">
        <f t="shared" si="53"/>
        <v>1605</v>
      </c>
      <c r="Q528" t="str">
        <f t="shared" si="56"/>
        <v>theater</v>
      </c>
      <c r="R528" t="str">
        <f t="shared" si="57"/>
        <v>plays</v>
      </c>
      <c r="S528" s="9">
        <f t="shared" si="54"/>
        <v>42192.383611111109</v>
      </c>
      <c r="T528" s="9">
        <f t="shared" si="55"/>
        <v>42223.499999999993</v>
      </c>
    </row>
    <row r="529" spans="1:20" ht="43.5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2"/>
        <v>1.0085</v>
      </c>
      <c r="P529">
        <f t="shared" si="53"/>
        <v>10042.5</v>
      </c>
      <c r="Q529" t="str">
        <f t="shared" si="56"/>
        <v>theater</v>
      </c>
      <c r="R529" t="str">
        <f t="shared" si="57"/>
        <v>plays</v>
      </c>
      <c r="S529" s="9">
        <f t="shared" si="54"/>
        <v>42752.997291666667</v>
      </c>
      <c r="T529" s="9">
        <f t="shared" si="55"/>
        <v>42783.461805555555</v>
      </c>
    </row>
    <row r="530" spans="1:20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2"/>
        <v>1.1565217391304348</v>
      </c>
      <c r="P530">
        <f t="shared" si="53"/>
        <v>1240</v>
      </c>
      <c r="Q530" t="str">
        <f t="shared" si="56"/>
        <v>theater</v>
      </c>
      <c r="R530" t="str">
        <f t="shared" si="57"/>
        <v>plays</v>
      </c>
      <c r="S530" s="9">
        <f t="shared" si="54"/>
        <v>42155.71188657407</v>
      </c>
      <c r="T530" s="9">
        <f t="shared" si="55"/>
        <v>42176.680555555555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2"/>
        <v>1.3041666666666667</v>
      </c>
      <c r="P531">
        <f t="shared" si="53"/>
        <v>1382.5</v>
      </c>
      <c r="Q531" t="str">
        <f t="shared" si="56"/>
        <v>theater</v>
      </c>
      <c r="R531" t="str">
        <f t="shared" si="57"/>
        <v>plays</v>
      </c>
      <c r="S531" s="9">
        <f t="shared" si="54"/>
        <v>42724.822847222218</v>
      </c>
      <c r="T531" s="9">
        <f t="shared" si="55"/>
        <v>42745.999999999993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2"/>
        <v>1.0778267254038179</v>
      </c>
      <c r="P532">
        <f t="shared" si="53"/>
        <v>3537.5</v>
      </c>
      <c r="Q532" t="str">
        <f t="shared" si="56"/>
        <v>theater</v>
      </c>
      <c r="R532" t="str">
        <f t="shared" si="57"/>
        <v>plays</v>
      </c>
      <c r="S532" s="9">
        <f t="shared" si="54"/>
        <v>42157.382731481477</v>
      </c>
      <c r="T532" s="9">
        <f t="shared" si="55"/>
        <v>42178.874999999993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2"/>
        <v>1</v>
      </c>
      <c r="P533">
        <f t="shared" si="53"/>
        <v>4000</v>
      </c>
      <c r="Q533" t="str">
        <f t="shared" si="56"/>
        <v>theater</v>
      </c>
      <c r="R533" t="str">
        <f t="shared" si="57"/>
        <v>plays</v>
      </c>
      <c r="S533" s="9">
        <f t="shared" si="54"/>
        <v>42675.856817129628</v>
      </c>
      <c r="T533" s="9">
        <f t="shared" si="55"/>
        <v>42721.082638888889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2"/>
        <v>1.2324999999999999</v>
      </c>
      <c r="P534">
        <f t="shared" si="53"/>
        <v>11162.5</v>
      </c>
      <c r="Q534" t="str">
        <f t="shared" si="56"/>
        <v>theater</v>
      </c>
      <c r="R534" t="str">
        <f t="shared" si="57"/>
        <v>plays</v>
      </c>
      <c r="S534" s="9">
        <f t="shared" si="54"/>
        <v>42472.798703703702</v>
      </c>
      <c r="T534" s="9">
        <f t="shared" si="55"/>
        <v>42502.798703703702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2"/>
        <v>1.002</v>
      </c>
      <c r="P535">
        <f t="shared" si="53"/>
        <v>2002</v>
      </c>
      <c r="Q535" t="str">
        <f t="shared" si="56"/>
        <v>theater</v>
      </c>
      <c r="R535" t="str">
        <f t="shared" si="57"/>
        <v>plays</v>
      </c>
      <c r="S535" s="9">
        <f t="shared" si="54"/>
        <v>42482.226446759254</v>
      </c>
      <c r="T535" s="9">
        <f t="shared" si="55"/>
        <v>42506.226446759254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2"/>
        <v>1.0466666666666666</v>
      </c>
      <c r="P536">
        <f t="shared" si="53"/>
        <v>15350</v>
      </c>
      <c r="Q536" t="str">
        <f t="shared" si="56"/>
        <v>theater</v>
      </c>
      <c r="R536" t="str">
        <f t="shared" si="57"/>
        <v>plays</v>
      </c>
      <c r="S536" s="9">
        <f t="shared" si="54"/>
        <v>42270.602662037032</v>
      </c>
      <c r="T536" s="9">
        <f t="shared" si="55"/>
        <v>42309.749999999993</v>
      </c>
    </row>
    <row r="537" spans="1:20" ht="29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2"/>
        <v>1.0249999999999999</v>
      </c>
      <c r="P537">
        <f t="shared" si="53"/>
        <v>2025</v>
      </c>
      <c r="Q537" t="str">
        <f t="shared" si="56"/>
        <v>theater</v>
      </c>
      <c r="R537" t="str">
        <f t="shared" si="57"/>
        <v>plays</v>
      </c>
      <c r="S537" s="9">
        <f t="shared" si="54"/>
        <v>42711.336863425924</v>
      </c>
      <c r="T537" s="9">
        <f t="shared" si="55"/>
        <v>42741.336863425924</v>
      </c>
    </row>
    <row r="538" spans="1:20" ht="43.5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2"/>
        <v>1.1825757575757576</v>
      </c>
      <c r="P538">
        <f t="shared" si="53"/>
        <v>3601.25</v>
      </c>
      <c r="Q538" t="str">
        <f t="shared" si="56"/>
        <v>theater</v>
      </c>
      <c r="R538" t="str">
        <f t="shared" si="57"/>
        <v>plays</v>
      </c>
      <c r="S538" s="9">
        <f t="shared" si="54"/>
        <v>42179.136655092589</v>
      </c>
      <c r="T538" s="9">
        <f t="shared" si="55"/>
        <v>42219.541666666664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2"/>
        <v>1.2050000000000001</v>
      </c>
      <c r="P539">
        <f t="shared" si="53"/>
        <v>2205</v>
      </c>
      <c r="Q539" t="str">
        <f t="shared" si="56"/>
        <v>theater</v>
      </c>
      <c r="R539" t="str">
        <f t="shared" si="57"/>
        <v>plays</v>
      </c>
      <c r="S539" s="9">
        <f t="shared" si="54"/>
        <v>42282.560081018521</v>
      </c>
      <c r="T539" s="9">
        <f t="shared" si="55"/>
        <v>42312.601747685178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2"/>
        <v>3.0242</v>
      </c>
      <c r="P540">
        <f t="shared" si="53"/>
        <v>10060.5</v>
      </c>
      <c r="Q540" t="str">
        <f t="shared" si="56"/>
        <v>theater</v>
      </c>
      <c r="R540" t="str">
        <f t="shared" si="57"/>
        <v>plays</v>
      </c>
      <c r="S540" s="9">
        <f t="shared" si="54"/>
        <v>42473.586377314808</v>
      </c>
      <c r="T540" s="9">
        <f t="shared" si="55"/>
        <v>42503.586377314808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2"/>
        <v>1.00644</v>
      </c>
      <c r="P541">
        <f t="shared" si="53"/>
        <v>501.61</v>
      </c>
      <c r="Q541" t="str">
        <f>IF(N541="theater/plays","theater")</f>
        <v>theater</v>
      </c>
      <c r="R541" t="str">
        <f>IF(N541="theater/plays","plays")</f>
        <v>plays</v>
      </c>
      <c r="S541" s="9">
        <f t="shared" si="54"/>
        <v>42534.841516203705</v>
      </c>
      <c r="T541" s="9">
        <f t="shared" si="55"/>
        <v>42555.841516203705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2"/>
        <v>6.666666666666667E-5</v>
      </c>
      <c r="P542">
        <f t="shared" si="53"/>
        <v>7500.5</v>
      </c>
      <c r="Q542" t="str">
        <f>IF(N542="technology/web","technology")</f>
        <v>technology</v>
      </c>
      <c r="R542" t="str">
        <f>IF(N542="technology/web","web")</f>
        <v>web</v>
      </c>
      <c r="S542" s="9">
        <f t="shared" si="54"/>
        <v>42009.608865740738</v>
      </c>
      <c r="T542" s="9">
        <f t="shared" si="55"/>
        <v>42039.608865740738</v>
      </c>
    </row>
    <row r="543" spans="1:20" ht="29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2"/>
        <v>5.5555555555555558E-3</v>
      </c>
      <c r="P543">
        <f t="shared" si="53"/>
        <v>2262.5</v>
      </c>
      <c r="Q543" t="str">
        <f>IF(N543="technology/web","technology")</f>
        <v>technology</v>
      </c>
      <c r="R543" t="str">
        <f>IF(N543="technology/web","web")</f>
        <v>web</v>
      </c>
      <c r="S543" s="9">
        <f t="shared" si="54"/>
        <v>42275.838356481479</v>
      </c>
      <c r="T543" s="9">
        <f t="shared" si="55"/>
        <v>42305.838356481479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2"/>
        <v>3.9999999999999998E-6</v>
      </c>
      <c r="P544">
        <f t="shared" si="53"/>
        <v>125000.5</v>
      </c>
      <c r="Q544" t="str">
        <f t="shared" ref="Q544:Q607" si="58">IF(N544="technology/web","technology")</f>
        <v>technology</v>
      </c>
      <c r="R544" t="str">
        <f t="shared" ref="R544:R607" si="59">IF(N544="technology/web","web")</f>
        <v>web</v>
      </c>
      <c r="S544" s="9">
        <f t="shared" si="54"/>
        <v>42433.529120370367</v>
      </c>
      <c r="T544" s="9">
        <f t="shared" si="55"/>
        <v>42493.487453703703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2"/>
        <v>3.1818181818181819E-3</v>
      </c>
      <c r="P545">
        <f t="shared" si="53"/>
        <v>11035</v>
      </c>
      <c r="Q545" t="str">
        <f t="shared" si="58"/>
        <v>technology</v>
      </c>
      <c r="R545" t="str">
        <f t="shared" si="59"/>
        <v>web</v>
      </c>
      <c r="S545" s="9">
        <f t="shared" si="54"/>
        <v>41913.88381944444</v>
      </c>
      <c r="T545" s="9">
        <f t="shared" si="55"/>
        <v>41943.88381944444</v>
      </c>
    </row>
    <row r="546" spans="1:20" ht="43.5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2"/>
        <v>1.2E-2</v>
      </c>
      <c r="P546">
        <f t="shared" si="53"/>
        <v>253</v>
      </c>
      <c r="Q546" t="str">
        <f t="shared" si="58"/>
        <v>technology</v>
      </c>
      <c r="R546" t="str">
        <f t="shared" si="59"/>
        <v>web</v>
      </c>
      <c r="S546" s="9">
        <f t="shared" si="54"/>
        <v>42525.448611111111</v>
      </c>
      <c r="T546" s="9">
        <f t="shared" si="55"/>
        <v>42555.448611111111</v>
      </c>
    </row>
    <row r="547" spans="1:20" ht="43.5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2"/>
        <v>0.27383999999999997</v>
      </c>
      <c r="P547">
        <f t="shared" si="53"/>
        <v>31846</v>
      </c>
      <c r="Q547" t="str">
        <f t="shared" si="58"/>
        <v>technology</v>
      </c>
      <c r="R547" t="str">
        <f t="shared" si="59"/>
        <v>web</v>
      </c>
      <c r="S547" s="9">
        <f t="shared" si="54"/>
        <v>42283.38413194444</v>
      </c>
      <c r="T547" s="9">
        <f t="shared" si="55"/>
        <v>42323.425798611112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2"/>
        <v>8.6666666666666663E-4</v>
      </c>
      <c r="P548">
        <f t="shared" si="53"/>
        <v>30026</v>
      </c>
      <c r="Q548" t="str">
        <f t="shared" si="58"/>
        <v>technology</v>
      </c>
      <c r="R548" t="str">
        <f t="shared" si="59"/>
        <v>web</v>
      </c>
      <c r="S548" s="9">
        <f t="shared" si="54"/>
        <v>42249.459664351853</v>
      </c>
      <c r="T548" s="9">
        <f t="shared" si="55"/>
        <v>42294.459664351853</v>
      </c>
    </row>
    <row r="549" spans="1:20" ht="43.5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2"/>
        <v>0</v>
      </c>
      <c r="P549">
        <f t="shared" si="53"/>
        <v>3750</v>
      </c>
      <c r="Q549" t="str">
        <f t="shared" si="58"/>
        <v>technology</v>
      </c>
      <c r="R549" t="str">
        <f t="shared" si="59"/>
        <v>web</v>
      </c>
      <c r="S549" s="9">
        <f t="shared" si="54"/>
        <v>42380.488009259258</v>
      </c>
      <c r="T549" s="9">
        <f t="shared" si="55"/>
        <v>42410.488009259258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2"/>
        <v>8.9999999999999998E-4</v>
      </c>
      <c r="P550">
        <f t="shared" si="53"/>
        <v>5004.5</v>
      </c>
      <c r="Q550" t="str">
        <f t="shared" si="58"/>
        <v>technology</v>
      </c>
      <c r="R550" t="str">
        <f t="shared" si="59"/>
        <v>web</v>
      </c>
      <c r="S550" s="9">
        <f t="shared" si="54"/>
        <v>42276.695</v>
      </c>
      <c r="T550" s="9">
        <f t="shared" si="55"/>
        <v>42306.695</v>
      </c>
    </row>
    <row r="551" spans="1:20" ht="43.5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2"/>
        <v>2.7199999999999998E-2</v>
      </c>
      <c r="P551">
        <f t="shared" si="53"/>
        <v>1284</v>
      </c>
      <c r="Q551" t="str">
        <f t="shared" si="58"/>
        <v>technology</v>
      </c>
      <c r="R551" t="str">
        <f t="shared" si="59"/>
        <v>web</v>
      </c>
      <c r="S551" s="9">
        <f t="shared" si="54"/>
        <v>42163.428495370368</v>
      </c>
      <c r="T551" s="9">
        <f t="shared" si="55"/>
        <v>42193.428495370368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2"/>
        <v>7.0000000000000001E-3</v>
      </c>
      <c r="P552">
        <f t="shared" si="53"/>
        <v>2517.5</v>
      </c>
      <c r="Q552" t="str">
        <f t="shared" si="58"/>
        <v>technology</v>
      </c>
      <c r="R552" t="str">
        <f t="shared" si="59"/>
        <v>web</v>
      </c>
      <c r="S552" s="9">
        <f t="shared" si="54"/>
        <v>42753.47042824074</v>
      </c>
      <c r="T552" s="9">
        <f t="shared" si="55"/>
        <v>42765.999999999993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2"/>
        <v>5.0413333333333331E-2</v>
      </c>
      <c r="P553">
        <f t="shared" si="53"/>
        <v>39390.5</v>
      </c>
      <c r="Q553" t="str">
        <f t="shared" si="58"/>
        <v>technology</v>
      </c>
      <c r="R553" t="str">
        <f t="shared" si="59"/>
        <v>web</v>
      </c>
      <c r="S553" s="9">
        <f t="shared" si="54"/>
        <v>42173.067407407405</v>
      </c>
      <c r="T553" s="9">
        <f t="shared" si="55"/>
        <v>42217.536805555552</v>
      </c>
    </row>
    <row r="554" spans="1:20" ht="29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2"/>
        <v>0</v>
      </c>
      <c r="P554">
        <f t="shared" si="53"/>
        <v>22500</v>
      </c>
      <c r="Q554" t="str">
        <f t="shared" si="58"/>
        <v>technology</v>
      </c>
      <c r="R554" t="str">
        <f t="shared" si="59"/>
        <v>web</v>
      </c>
      <c r="S554" s="9">
        <f t="shared" si="54"/>
        <v>42318.408518518518</v>
      </c>
      <c r="T554" s="9">
        <f t="shared" si="55"/>
        <v>42378.408518518518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2"/>
        <v>4.9199999999999999E-3</v>
      </c>
      <c r="P555">
        <f t="shared" si="53"/>
        <v>12561.5</v>
      </c>
      <c r="Q555" t="str">
        <f t="shared" si="58"/>
        <v>technology</v>
      </c>
      <c r="R555" t="str">
        <f t="shared" si="59"/>
        <v>web</v>
      </c>
      <c r="S555" s="9">
        <f t="shared" si="54"/>
        <v>41927.511469907404</v>
      </c>
      <c r="T555" s="9">
        <f t="shared" si="55"/>
        <v>41957.553136574068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2"/>
        <v>0.36589147286821705</v>
      </c>
      <c r="P556">
        <f t="shared" si="53"/>
        <v>2643</v>
      </c>
      <c r="Q556" t="str">
        <f t="shared" si="58"/>
        <v>technology</v>
      </c>
      <c r="R556" t="str">
        <f t="shared" si="59"/>
        <v>web</v>
      </c>
      <c r="S556" s="9">
        <f t="shared" si="54"/>
        <v>41901.476527777777</v>
      </c>
      <c r="T556" s="9">
        <f t="shared" si="55"/>
        <v>41931.476527777777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2"/>
        <v>0</v>
      </c>
      <c r="P557">
        <f t="shared" si="53"/>
        <v>3750</v>
      </c>
      <c r="Q557" t="str">
        <f t="shared" si="58"/>
        <v>technology</v>
      </c>
      <c r="R557" t="str">
        <f t="shared" si="59"/>
        <v>web</v>
      </c>
      <c r="S557" s="9">
        <f t="shared" si="54"/>
        <v>42503.145173611112</v>
      </c>
      <c r="T557" s="9">
        <f t="shared" si="55"/>
        <v>42533.145173611112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2"/>
        <v>2.5000000000000001E-2</v>
      </c>
      <c r="P558">
        <f t="shared" si="53"/>
        <v>4100</v>
      </c>
      <c r="Q558" t="str">
        <f t="shared" si="58"/>
        <v>technology</v>
      </c>
      <c r="R558" t="str">
        <f t="shared" si="59"/>
        <v>web</v>
      </c>
      <c r="S558" s="9">
        <f t="shared" si="54"/>
        <v>42345.651817129627</v>
      </c>
      <c r="T558" s="9">
        <f t="shared" si="55"/>
        <v>42375.651817129627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2"/>
        <v>9.1066666666666674E-3</v>
      </c>
      <c r="P559">
        <f t="shared" si="53"/>
        <v>75683</v>
      </c>
      <c r="Q559" t="str">
        <f t="shared" si="58"/>
        <v>technology</v>
      </c>
      <c r="R559" t="str">
        <f t="shared" si="59"/>
        <v>web</v>
      </c>
      <c r="S559" s="9">
        <f t="shared" si="54"/>
        <v>42676.733831018515</v>
      </c>
      <c r="T559" s="9">
        <f t="shared" si="55"/>
        <v>42706.775497685179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2"/>
        <v>0</v>
      </c>
      <c r="P560">
        <f t="shared" si="53"/>
        <v>375</v>
      </c>
      <c r="Q560" t="str">
        <f t="shared" si="58"/>
        <v>technology</v>
      </c>
      <c r="R560" t="str">
        <f t="shared" si="59"/>
        <v>web</v>
      </c>
      <c r="S560" s="9">
        <f t="shared" si="54"/>
        <v>42057.674826388888</v>
      </c>
      <c r="T560" s="9">
        <f t="shared" si="55"/>
        <v>42087.633159722223</v>
      </c>
    </row>
    <row r="561" spans="1:20" ht="43.5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2"/>
        <v>2.0833333333333335E-4</v>
      </c>
      <c r="P561">
        <f t="shared" si="53"/>
        <v>120025</v>
      </c>
      <c r="Q561" t="str">
        <f t="shared" si="58"/>
        <v>technology</v>
      </c>
      <c r="R561" t="str">
        <f t="shared" si="59"/>
        <v>web</v>
      </c>
      <c r="S561" s="9">
        <f t="shared" si="54"/>
        <v>42321.074768518512</v>
      </c>
      <c r="T561" s="9">
        <f t="shared" si="55"/>
        <v>42351.074768518512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2"/>
        <v>1.2E-4</v>
      </c>
      <c r="P562">
        <f t="shared" si="53"/>
        <v>50006</v>
      </c>
      <c r="Q562" t="str">
        <f t="shared" si="58"/>
        <v>technology</v>
      </c>
      <c r="R562" t="str">
        <f t="shared" si="59"/>
        <v>web</v>
      </c>
      <c r="S562" s="9">
        <f t="shared" si="54"/>
        <v>41960.563020833331</v>
      </c>
      <c r="T562" s="9">
        <f t="shared" si="55"/>
        <v>41990.563020833331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2"/>
        <v>3.6666666666666666E-3</v>
      </c>
      <c r="P563">
        <f t="shared" si="53"/>
        <v>7527.5</v>
      </c>
      <c r="Q563" t="str">
        <f t="shared" si="58"/>
        <v>technology</v>
      </c>
      <c r="R563" t="str">
        <f t="shared" si="59"/>
        <v>web</v>
      </c>
      <c r="S563" s="9">
        <f t="shared" si="54"/>
        <v>42268.450381944444</v>
      </c>
      <c r="T563" s="9">
        <f t="shared" si="55"/>
        <v>42303.450381944444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2"/>
        <v>0</v>
      </c>
      <c r="P564">
        <f t="shared" si="53"/>
        <v>25000</v>
      </c>
      <c r="Q564" t="str">
        <f t="shared" si="58"/>
        <v>technology</v>
      </c>
      <c r="R564" t="str">
        <f t="shared" si="59"/>
        <v>web</v>
      </c>
      <c r="S564" s="9">
        <f t="shared" si="54"/>
        <v>42692.180729166663</v>
      </c>
      <c r="T564" s="9">
        <f t="shared" si="55"/>
        <v>42722.180729166663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2"/>
        <v>9.0666666666666662E-4</v>
      </c>
      <c r="P565">
        <f t="shared" si="53"/>
        <v>37534</v>
      </c>
      <c r="Q565" t="str">
        <f t="shared" si="58"/>
        <v>technology</v>
      </c>
      <c r="R565" t="str">
        <f t="shared" si="59"/>
        <v>web</v>
      </c>
      <c r="S565" s="9">
        <f t="shared" si="54"/>
        <v>42021.861655092587</v>
      </c>
      <c r="T565" s="9">
        <f t="shared" si="55"/>
        <v>42051.861655092587</v>
      </c>
    </row>
    <row r="566" spans="1:20" ht="43.5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2"/>
        <v>5.5555555555555558E-5</v>
      </c>
      <c r="P566">
        <f t="shared" si="53"/>
        <v>9000.5</v>
      </c>
      <c r="Q566" t="str">
        <f t="shared" si="58"/>
        <v>technology</v>
      </c>
      <c r="R566" t="str">
        <f t="shared" si="59"/>
        <v>web</v>
      </c>
      <c r="S566" s="9">
        <f t="shared" si="54"/>
        <v>42411.734664351847</v>
      </c>
      <c r="T566" s="9">
        <f t="shared" si="55"/>
        <v>42441.734664351847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2"/>
        <v>0</v>
      </c>
      <c r="P567">
        <f t="shared" si="53"/>
        <v>12500</v>
      </c>
      <c r="Q567" t="str">
        <f t="shared" si="58"/>
        <v>technology</v>
      </c>
      <c r="R567" t="str">
        <f t="shared" si="59"/>
        <v>web</v>
      </c>
      <c r="S567" s="9">
        <f t="shared" si="54"/>
        <v>42165.576956018514</v>
      </c>
      <c r="T567" s="9">
        <f t="shared" si="55"/>
        <v>42195.576956018514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2"/>
        <v>2.0000000000000001E-4</v>
      </c>
      <c r="P568">
        <f t="shared" si="53"/>
        <v>2500.5</v>
      </c>
      <c r="Q568" t="str">
        <f t="shared" si="58"/>
        <v>technology</v>
      </c>
      <c r="R568" t="str">
        <f t="shared" si="59"/>
        <v>web</v>
      </c>
      <c r="S568" s="9">
        <f t="shared" si="54"/>
        <v>42535.476076388884</v>
      </c>
      <c r="T568" s="9">
        <f t="shared" si="55"/>
        <v>42565.476076388884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2"/>
        <v>0</v>
      </c>
      <c r="P569">
        <f t="shared" si="53"/>
        <v>5000</v>
      </c>
      <c r="Q569" t="str">
        <f t="shared" si="58"/>
        <v>technology</v>
      </c>
      <c r="R569" t="str">
        <f t="shared" si="59"/>
        <v>web</v>
      </c>
      <c r="S569" s="9">
        <f t="shared" si="54"/>
        <v>41975.634189814817</v>
      </c>
      <c r="T569" s="9">
        <f t="shared" si="55"/>
        <v>42005.634189814817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2"/>
        <v>0.01</v>
      </c>
      <c r="P570">
        <f t="shared" si="53"/>
        <v>12372.5</v>
      </c>
      <c r="Q570" t="str">
        <f t="shared" si="58"/>
        <v>technology</v>
      </c>
      <c r="R570" t="str">
        <f t="shared" si="59"/>
        <v>web</v>
      </c>
      <c r="S570" s="9">
        <f t="shared" si="54"/>
        <v>42348.713229166664</v>
      </c>
      <c r="T570" s="9">
        <f t="shared" si="55"/>
        <v>42385.249999999993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2"/>
        <v>8.0000000000000002E-3</v>
      </c>
      <c r="P571">
        <f t="shared" si="53"/>
        <v>1260</v>
      </c>
      <c r="Q571" t="str">
        <f t="shared" si="58"/>
        <v>technology</v>
      </c>
      <c r="R571" t="str">
        <f t="shared" si="59"/>
        <v>web</v>
      </c>
      <c r="S571" s="9">
        <f t="shared" si="54"/>
        <v>42340.639027777775</v>
      </c>
      <c r="T571" s="9">
        <f t="shared" si="55"/>
        <v>42370.639027777775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2"/>
        <v>1.6705882352941177E-3</v>
      </c>
      <c r="P572">
        <f t="shared" si="53"/>
        <v>42571</v>
      </c>
      <c r="Q572" t="str">
        <f t="shared" si="58"/>
        <v>technology</v>
      </c>
      <c r="R572" t="str">
        <f t="shared" si="59"/>
        <v>web</v>
      </c>
      <c r="S572" s="9">
        <f t="shared" si="54"/>
        <v>42388.589918981474</v>
      </c>
      <c r="T572" s="9">
        <f t="shared" si="55"/>
        <v>42418.589918981474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2"/>
        <v>4.2399999999999998E-3</v>
      </c>
      <c r="P573">
        <f t="shared" si="53"/>
        <v>12553</v>
      </c>
      <c r="Q573" t="str">
        <f t="shared" si="58"/>
        <v>technology</v>
      </c>
      <c r="R573" t="str">
        <f t="shared" si="59"/>
        <v>web</v>
      </c>
      <c r="S573" s="9">
        <f t="shared" si="54"/>
        <v>42192.607905092591</v>
      </c>
      <c r="T573" s="9">
        <f t="shared" si="55"/>
        <v>42211.957638888889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2"/>
        <v>0</v>
      </c>
      <c r="P574">
        <f t="shared" si="53"/>
        <v>1250</v>
      </c>
      <c r="Q574" t="str">
        <f t="shared" si="58"/>
        <v>technology</v>
      </c>
      <c r="R574" t="str">
        <f t="shared" si="59"/>
        <v>web</v>
      </c>
      <c r="S574" s="9">
        <f t="shared" si="54"/>
        <v>42282.507962962962</v>
      </c>
      <c r="T574" s="9">
        <f t="shared" si="55"/>
        <v>42312.549629629626</v>
      </c>
    </row>
    <row r="575" spans="1:20" ht="43.5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2"/>
        <v>3.892538925389254E-3</v>
      </c>
      <c r="P575">
        <f t="shared" si="53"/>
        <v>44617</v>
      </c>
      <c r="Q575" t="str">
        <f t="shared" si="58"/>
        <v>technology</v>
      </c>
      <c r="R575" t="str">
        <f t="shared" si="59"/>
        <v>web</v>
      </c>
      <c r="S575" s="9">
        <f t="shared" si="54"/>
        <v>41962.841793981475</v>
      </c>
      <c r="T575" s="9">
        <f t="shared" si="55"/>
        <v>42021.841666666667</v>
      </c>
    </row>
    <row r="576" spans="1:20" ht="43.5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2"/>
        <v>7.1556350626118068E-3</v>
      </c>
      <c r="P576">
        <f t="shared" si="53"/>
        <v>5630</v>
      </c>
      <c r="Q576" t="str">
        <f t="shared" si="58"/>
        <v>technology</v>
      </c>
      <c r="R576" t="str">
        <f t="shared" si="59"/>
        <v>web</v>
      </c>
      <c r="S576" s="9">
        <f t="shared" si="54"/>
        <v>42632.235034722216</v>
      </c>
      <c r="T576" s="9">
        <f t="shared" si="55"/>
        <v>42662.235034722216</v>
      </c>
    </row>
    <row r="577" spans="1:20" ht="43.5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2"/>
        <v>4.3166666666666666E-3</v>
      </c>
      <c r="P577">
        <f t="shared" si="53"/>
        <v>30129.5</v>
      </c>
      <c r="Q577" t="str">
        <f t="shared" si="58"/>
        <v>technology</v>
      </c>
      <c r="R577" t="str">
        <f t="shared" si="59"/>
        <v>web</v>
      </c>
      <c r="S577" s="9">
        <f t="shared" si="54"/>
        <v>42138.484293981477</v>
      </c>
      <c r="T577" s="9">
        <f t="shared" si="55"/>
        <v>42168.484293981477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2"/>
        <v>1.2500000000000001E-5</v>
      </c>
      <c r="P578">
        <f t="shared" si="53"/>
        <v>40000.5</v>
      </c>
      <c r="Q578" t="str">
        <f t="shared" si="58"/>
        <v>technology</v>
      </c>
      <c r="R578" t="str">
        <f t="shared" si="59"/>
        <v>web</v>
      </c>
      <c r="S578" s="9">
        <f t="shared" si="54"/>
        <v>42031.263333333329</v>
      </c>
      <c r="T578" s="9">
        <f t="shared" si="55"/>
        <v>42091.221666666665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60">E579/D579</f>
        <v>2E-3</v>
      </c>
      <c r="P579">
        <f t="shared" ref="P579:P642" si="61">AVERAGE(D579:E579)</f>
        <v>2505</v>
      </c>
      <c r="Q579" t="str">
        <f t="shared" si="58"/>
        <v>technology</v>
      </c>
      <c r="R579" t="str">
        <f t="shared" si="59"/>
        <v>web</v>
      </c>
      <c r="S579" s="9">
        <f t="shared" ref="S579:S642" si="62">J579/86400+25569+(-5/24)</f>
        <v>42450.380810185183</v>
      </c>
      <c r="T579" s="9">
        <f t="shared" si="55"/>
        <v>42510.380810185183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60"/>
        <v>1.12E-4</v>
      </c>
      <c r="P580">
        <f t="shared" si="61"/>
        <v>62507</v>
      </c>
      <c r="Q580" t="str">
        <f t="shared" si="58"/>
        <v>technology</v>
      </c>
      <c r="R580" t="str">
        <f t="shared" si="59"/>
        <v>web</v>
      </c>
      <c r="S580" s="9">
        <f t="shared" si="62"/>
        <v>42230.370289351849</v>
      </c>
      <c r="T580" s="9">
        <f t="shared" ref="T580:T643" si="63">I580/86400+25569+(-5/24)</f>
        <v>42254.370289351849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60"/>
        <v>1.4583333333333334E-2</v>
      </c>
      <c r="P581">
        <f t="shared" si="61"/>
        <v>6087.5</v>
      </c>
      <c r="Q581" t="str">
        <f t="shared" si="58"/>
        <v>technology</v>
      </c>
      <c r="R581" t="str">
        <f t="shared" si="59"/>
        <v>web</v>
      </c>
      <c r="S581" s="9">
        <f t="shared" si="62"/>
        <v>41968.643784722219</v>
      </c>
      <c r="T581" s="9">
        <f t="shared" si="63"/>
        <v>41998.643784722219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60"/>
        <v>3.3333333333333332E-4</v>
      </c>
      <c r="P582">
        <f t="shared" si="61"/>
        <v>1500.5</v>
      </c>
      <c r="Q582" t="str">
        <f t="shared" si="58"/>
        <v>technology</v>
      </c>
      <c r="R582" t="str">
        <f t="shared" si="59"/>
        <v>web</v>
      </c>
      <c r="S582" s="9">
        <f t="shared" si="62"/>
        <v>42605.699849537035</v>
      </c>
      <c r="T582" s="9">
        <f t="shared" si="63"/>
        <v>42635.699849537035</v>
      </c>
    </row>
    <row r="583" spans="1:20" ht="43.5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60"/>
        <v>0</v>
      </c>
      <c r="P583">
        <f t="shared" si="61"/>
        <v>200</v>
      </c>
      <c r="Q583" t="str">
        <f t="shared" si="58"/>
        <v>technology</v>
      </c>
      <c r="R583" t="str">
        <f t="shared" si="59"/>
        <v>web</v>
      </c>
      <c r="S583" s="9">
        <f t="shared" si="62"/>
        <v>42187.804444444446</v>
      </c>
      <c r="T583" s="9">
        <f t="shared" si="63"/>
        <v>42217.804444444446</v>
      </c>
    </row>
    <row r="584" spans="1:20" ht="43.5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60"/>
        <v>0</v>
      </c>
      <c r="P584">
        <f t="shared" si="61"/>
        <v>50000</v>
      </c>
      <c r="Q584" t="str">
        <f t="shared" si="58"/>
        <v>technology</v>
      </c>
      <c r="R584" t="str">
        <f t="shared" si="59"/>
        <v>web</v>
      </c>
      <c r="S584" s="9">
        <f t="shared" si="62"/>
        <v>42055.531469907401</v>
      </c>
      <c r="T584" s="9">
        <f t="shared" si="63"/>
        <v>42078.541666666664</v>
      </c>
    </row>
    <row r="585" spans="1:20" ht="29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60"/>
        <v>1.1111111111111112E-4</v>
      </c>
      <c r="P585">
        <f t="shared" si="61"/>
        <v>4500.5</v>
      </c>
      <c r="Q585" t="str">
        <f t="shared" si="58"/>
        <v>technology</v>
      </c>
      <c r="R585" t="str">
        <f t="shared" si="59"/>
        <v>web</v>
      </c>
      <c r="S585" s="9">
        <f t="shared" si="62"/>
        <v>42052.730173611104</v>
      </c>
      <c r="T585" s="9">
        <f t="shared" si="63"/>
        <v>42082.688506944447</v>
      </c>
    </row>
    <row r="586" spans="1:20" ht="29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60"/>
        <v>0.01</v>
      </c>
      <c r="P586">
        <f t="shared" si="61"/>
        <v>505</v>
      </c>
      <c r="Q586" t="str">
        <f t="shared" si="58"/>
        <v>technology</v>
      </c>
      <c r="R586" t="str">
        <f t="shared" si="59"/>
        <v>web</v>
      </c>
      <c r="S586" s="9">
        <f t="shared" si="62"/>
        <v>42049.508287037032</v>
      </c>
      <c r="T586" s="9">
        <f t="shared" si="63"/>
        <v>42079.466620370367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60"/>
        <v>0</v>
      </c>
      <c r="P587">
        <f t="shared" si="61"/>
        <v>4500</v>
      </c>
      <c r="Q587" t="str">
        <f t="shared" si="58"/>
        <v>technology</v>
      </c>
      <c r="R587" t="str">
        <f t="shared" si="59"/>
        <v>web</v>
      </c>
      <c r="S587" s="9">
        <f t="shared" si="62"/>
        <v>42283.182604166665</v>
      </c>
      <c r="T587" s="9">
        <f t="shared" si="63"/>
        <v>42338.791666666664</v>
      </c>
    </row>
    <row r="588" spans="1:20" ht="29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60"/>
        <v>5.5999999999999999E-3</v>
      </c>
      <c r="P588">
        <f t="shared" si="61"/>
        <v>5028</v>
      </c>
      <c r="Q588" t="str">
        <f t="shared" si="58"/>
        <v>technology</v>
      </c>
      <c r="R588" t="str">
        <f t="shared" si="59"/>
        <v>web</v>
      </c>
      <c r="S588" s="9">
        <f t="shared" si="62"/>
        <v>42020.645914351851</v>
      </c>
      <c r="T588" s="9">
        <f t="shared" si="63"/>
        <v>42050.645914351851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60"/>
        <v>9.0833333333333335E-2</v>
      </c>
      <c r="P589">
        <f t="shared" si="61"/>
        <v>16362.5</v>
      </c>
      <c r="Q589" t="str">
        <f t="shared" si="58"/>
        <v>technology</v>
      </c>
      <c r="R589" t="str">
        <f t="shared" si="59"/>
        <v>web</v>
      </c>
      <c r="S589" s="9">
        <f t="shared" si="62"/>
        <v>42080.548993055556</v>
      </c>
      <c r="T589" s="9">
        <f t="shared" si="63"/>
        <v>42110.548993055556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60"/>
        <v>3.3444444444444443E-2</v>
      </c>
      <c r="P590">
        <f t="shared" si="61"/>
        <v>4650.5</v>
      </c>
      <c r="Q590" t="str">
        <f t="shared" si="58"/>
        <v>technology</v>
      </c>
      <c r="R590" t="str">
        <f t="shared" si="59"/>
        <v>web</v>
      </c>
      <c r="S590" s="9">
        <f t="shared" si="62"/>
        <v>42631.561180555553</v>
      </c>
      <c r="T590" s="9">
        <f t="shared" si="63"/>
        <v>42691.602847222217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60"/>
        <v>1.3333333333333334E-4</v>
      </c>
      <c r="P591">
        <f t="shared" si="61"/>
        <v>3750.5</v>
      </c>
      <c r="Q591" t="str">
        <f t="shared" si="58"/>
        <v>technology</v>
      </c>
      <c r="R591" t="str">
        <f t="shared" si="59"/>
        <v>web</v>
      </c>
      <c r="S591" s="9">
        <f t="shared" si="62"/>
        <v>42178.406238425923</v>
      </c>
      <c r="T591" s="9">
        <f t="shared" si="63"/>
        <v>42193.406238425923</v>
      </c>
    </row>
    <row r="592" spans="1:20" ht="43.5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60"/>
        <v>4.4600000000000001E-2</v>
      </c>
      <c r="P592">
        <f t="shared" si="61"/>
        <v>2611.5</v>
      </c>
      <c r="Q592" t="str">
        <f t="shared" si="58"/>
        <v>technology</v>
      </c>
      <c r="R592" t="str">
        <f t="shared" si="59"/>
        <v>web</v>
      </c>
      <c r="S592" s="9">
        <f t="shared" si="62"/>
        <v>42377.34642361111</v>
      </c>
      <c r="T592" s="9">
        <f t="shared" si="63"/>
        <v>42408.334027777775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60"/>
        <v>6.0999999999999997E-4</v>
      </c>
      <c r="P593">
        <f t="shared" si="61"/>
        <v>50030.5</v>
      </c>
      <c r="Q593" t="str">
        <f t="shared" si="58"/>
        <v>technology</v>
      </c>
      <c r="R593" t="str">
        <f t="shared" si="59"/>
        <v>web</v>
      </c>
      <c r="S593" s="9">
        <f t="shared" si="62"/>
        <v>42177.334837962961</v>
      </c>
      <c r="T593" s="9">
        <f t="shared" si="63"/>
        <v>42207.334837962961</v>
      </c>
    </row>
    <row r="594" spans="1:20" ht="43.5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60"/>
        <v>3.3333333333333333E-2</v>
      </c>
      <c r="P594">
        <f t="shared" si="61"/>
        <v>3875</v>
      </c>
      <c r="Q594" t="str">
        <f t="shared" si="58"/>
        <v>technology</v>
      </c>
      <c r="R594" t="str">
        <f t="shared" si="59"/>
        <v>web</v>
      </c>
      <c r="S594" s="9">
        <f t="shared" si="62"/>
        <v>41946.023842592593</v>
      </c>
      <c r="T594" s="9">
        <f t="shared" si="63"/>
        <v>41976.023842592585</v>
      </c>
    </row>
    <row r="595" spans="1:20" ht="43.5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60"/>
        <v>0.23</v>
      </c>
      <c r="P595">
        <f t="shared" si="61"/>
        <v>307.5</v>
      </c>
      <c r="Q595" t="str">
        <f t="shared" si="58"/>
        <v>technology</v>
      </c>
      <c r="R595" t="str">
        <f t="shared" si="59"/>
        <v>web</v>
      </c>
      <c r="S595" s="9">
        <f t="shared" si="62"/>
        <v>42070.469270833331</v>
      </c>
      <c r="T595" s="9">
        <f t="shared" si="63"/>
        <v>42100.427604166667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60"/>
        <v>1.0399999999999999E-3</v>
      </c>
      <c r="P596">
        <f t="shared" si="61"/>
        <v>12513</v>
      </c>
      <c r="Q596" t="str">
        <f t="shared" si="58"/>
        <v>technology</v>
      </c>
      <c r="R596" t="str">
        <f t="shared" si="59"/>
        <v>web</v>
      </c>
      <c r="S596" s="9">
        <f t="shared" si="62"/>
        <v>42446.571828703702</v>
      </c>
      <c r="T596" s="9">
        <f t="shared" si="63"/>
        <v>42476.571828703702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60"/>
        <v>4.2599999999999999E-3</v>
      </c>
      <c r="P597">
        <f t="shared" si="61"/>
        <v>50213</v>
      </c>
      <c r="Q597" t="str">
        <f t="shared" si="58"/>
        <v>technology</v>
      </c>
      <c r="R597" t="str">
        <f t="shared" si="59"/>
        <v>web</v>
      </c>
      <c r="S597" s="9">
        <f t="shared" si="62"/>
        <v>42082.861550925925</v>
      </c>
      <c r="T597" s="9">
        <f t="shared" si="63"/>
        <v>42127.861550925925</v>
      </c>
    </row>
    <row r="598" spans="1:20" ht="29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60"/>
        <v>2.9999999999999997E-4</v>
      </c>
      <c r="P598">
        <f t="shared" si="61"/>
        <v>10003</v>
      </c>
      <c r="Q598" t="str">
        <f t="shared" si="58"/>
        <v>technology</v>
      </c>
      <c r="R598" t="str">
        <f t="shared" si="59"/>
        <v>web</v>
      </c>
      <c r="S598" s="9">
        <f t="shared" si="62"/>
        <v>42646.688564814809</v>
      </c>
      <c r="T598" s="9">
        <f t="shared" si="63"/>
        <v>42676.688564814809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60"/>
        <v>2.6666666666666666E-3</v>
      </c>
      <c r="P599">
        <f t="shared" si="61"/>
        <v>3760</v>
      </c>
      <c r="Q599" t="str">
        <f t="shared" si="58"/>
        <v>technology</v>
      </c>
      <c r="R599" t="str">
        <f t="shared" si="59"/>
        <v>web</v>
      </c>
      <c r="S599" s="9">
        <f t="shared" si="62"/>
        <v>42545.496932870366</v>
      </c>
      <c r="T599" s="9">
        <f t="shared" si="63"/>
        <v>42582.458333333336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60"/>
        <v>0.34</v>
      </c>
      <c r="P600">
        <f t="shared" si="61"/>
        <v>1675</v>
      </c>
      <c r="Q600" t="str">
        <f t="shared" si="58"/>
        <v>technology</v>
      </c>
      <c r="R600" t="str">
        <f t="shared" si="59"/>
        <v>web</v>
      </c>
      <c r="S600" s="9">
        <f t="shared" si="62"/>
        <v>41947.793761574074</v>
      </c>
      <c r="T600" s="9">
        <f t="shared" si="63"/>
        <v>41977.793761574074</v>
      </c>
    </row>
    <row r="601" spans="1:20" ht="43.5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60"/>
        <v>6.2E-4</v>
      </c>
      <c r="P601">
        <f t="shared" si="61"/>
        <v>25015.5</v>
      </c>
      <c r="Q601" t="str">
        <f t="shared" si="58"/>
        <v>technology</v>
      </c>
      <c r="R601" t="str">
        <f t="shared" si="59"/>
        <v>web</v>
      </c>
      <c r="S601" s="9">
        <f t="shared" si="62"/>
        <v>42047.604189814818</v>
      </c>
      <c r="T601" s="9">
        <f t="shared" si="63"/>
        <v>42071.427777777775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60"/>
        <v>0.02</v>
      </c>
      <c r="P602">
        <f t="shared" si="61"/>
        <v>2550</v>
      </c>
      <c r="Q602" t="str">
        <f t="shared" si="58"/>
        <v>technology</v>
      </c>
      <c r="R602" t="str">
        <f t="shared" si="59"/>
        <v>web</v>
      </c>
      <c r="S602" s="9">
        <f t="shared" si="62"/>
        <v>42073.589837962958</v>
      </c>
      <c r="T602" s="9">
        <f t="shared" si="63"/>
        <v>42133.589837962958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60"/>
        <v>1.4E-2</v>
      </c>
      <c r="P603">
        <f t="shared" si="61"/>
        <v>5070</v>
      </c>
      <c r="Q603" t="str">
        <f t="shared" si="58"/>
        <v>technology</v>
      </c>
      <c r="R603" t="str">
        <f t="shared" si="59"/>
        <v>web</v>
      </c>
      <c r="S603" s="9">
        <f t="shared" si="62"/>
        <v>41969.64975694444</v>
      </c>
      <c r="T603" s="9">
        <f t="shared" si="63"/>
        <v>41999.64975694444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60"/>
        <v>0</v>
      </c>
      <c r="P604">
        <f t="shared" si="61"/>
        <v>35000</v>
      </c>
      <c r="Q604" t="str">
        <f t="shared" si="58"/>
        <v>technology</v>
      </c>
      <c r="R604" t="str">
        <f t="shared" si="59"/>
        <v>web</v>
      </c>
      <c r="S604" s="9">
        <f t="shared" si="62"/>
        <v>42143.585821759254</v>
      </c>
      <c r="T604" s="9">
        <f t="shared" si="63"/>
        <v>42173.585821759254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60"/>
        <v>3.9334666666666664E-2</v>
      </c>
      <c r="P605">
        <f t="shared" si="61"/>
        <v>7795.01</v>
      </c>
      <c r="Q605" t="str">
        <f t="shared" si="58"/>
        <v>technology</v>
      </c>
      <c r="R605" t="str">
        <f t="shared" si="59"/>
        <v>web</v>
      </c>
      <c r="S605" s="9">
        <f t="shared" si="62"/>
        <v>41835.430821759255</v>
      </c>
      <c r="T605" s="9">
        <f t="shared" si="63"/>
        <v>41865.430821759255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60"/>
        <v>0</v>
      </c>
      <c r="P606">
        <f t="shared" si="61"/>
        <v>750</v>
      </c>
      <c r="Q606" t="str">
        <f t="shared" si="58"/>
        <v>technology</v>
      </c>
      <c r="R606" t="str">
        <f t="shared" si="59"/>
        <v>web</v>
      </c>
      <c r="S606" s="9">
        <f t="shared" si="62"/>
        <v>41848.827037037037</v>
      </c>
      <c r="T606" s="9">
        <f t="shared" si="63"/>
        <v>41878.827037037037</v>
      </c>
    </row>
    <row r="607" spans="1:20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60"/>
        <v>2.6200000000000001E-2</v>
      </c>
      <c r="P607">
        <f t="shared" si="61"/>
        <v>2565.5</v>
      </c>
      <c r="Q607" t="str">
        <f t="shared" si="58"/>
        <v>technology</v>
      </c>
      <c r="R607" t="str">
        <f t="shared" si="59"/>
        <v>web</v>
      </c>
      <c r="S607" s="9">
        <f t="shared" si="62"/>
        <v>42194.149398148147</v>
      </c>
      <c r="T607" s="9">
        <f t="shared" si="63"/>
        <v>42239.149398148147</v>
      </c>
    </row>
    <row r="608" spans="1:20" ht="43.5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60"/>
        <v>2E-3</v>
      </c>
      <c r="P608">
        <f t="shared" si="61"/>
        <v>2505</v>
      </c>
      <c r="Q608" t="str">
        <f t="shared" ref="Q608:Q640" si="64">IF(N608="technology/web","technology")</f>
        <v>technology</v>
      </c>
      <c r="R608" t="str">
        <f t="shared" ref="R608:R640" si="65">IF(N608="technology/web","web")</f>
        <v>web</v>
      </c>
      <c r="S608" s="9">
        <f t="shared" si="62"/>
        <v>42102.442233796297</v>
      </c>
      <c r="T608" s="9">
        <f t="shared" si="63"/>
        <v>42148.416666666664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60"/>
        <v>0</v>
      </c>
      <c r="P609">
        <f t="shared" si="61"/>
        <v>125</v>
      </c>
      <c r="Q609" t="str">
        <f t="shared" si="64"/>
        <v>technology</v>
      </c>
      <c r="R609" t="str">
        <f t="shared" si="65"/>
        <v>web</v>
      </c>
      <c r="S609" s="9">
        <f t="shared" si="62"/>
        <v>42300.617314814815</v>
      </c>
      <c r="T609" s="9">
        <f t="shared" si="63"/>
        <v>42330.65898148148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60"/>
        <v>9.7400000000000004E-3</v>
      </c>
      <c r="P610">
        <f t="shared" si="61"/>
        <v>75730.5</v>
      </c>
      <c r="Q610" t="str">
        <f t="shared" si="64"/>
        <v>technology</v>
      </c>
      <c r="R610" t="str">
        <f t="shared" si="65"/>
        <v>web</v>
      </c>
      <c r="S610" s="9">
        <f t="shared" si="62"/>
        <v>42140.712731481479</v>
      </c>
      <c r="T610" s="9">
        <f t="shared" si="63"/>
        <v>42170.712731481479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60"/>
        <v>6.41025641025641E-3</v>
      </c>
      <c r="P611">
        <f t="shared" si="61"/>
        <v>392.5</v>
      </c>
      <c r="Q611" t="str">
        <f t="shared" si="64"/>
        <v>technology</v>
      </c>
      <c r="R611" t="str">
        <f t="shared" si="65"/>
        <v>web</v>
      </c>
      <c r="S611" s="9">
        <f t="shared" si="62"/>
        <v>42306.825740740744</v>
      </c>
      <c r="T611" s="9">
        <f t="shared" si="63"/>
        <v>42336.867407407401</v>
      </c>
    </row>
    <row r="612" spans="1:20" ht="29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60"/>
        <v>0</v>
      </c>
      <c r="P612">
        <f t="shared" si="61"/>
        <v>6901.5</v>
      </c>
      <c r="Q612" t="str">
        <f t="shared" si="64"/>
        <v>technology</v>
      </c>
      <c r="R612" t="str">
        <f t="shared" si="65"/>
        <v>web</v>
      </c>
      <c r="S612" s="9">
        <f t="shared" si="62"/>
        <v>42086.622523148144</v>
      </c>
      <c r="T612" s="9">
        <f t="shared" si="63"/>
        <v>42116.622523148144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60"/>
        <v>0</v>
      </c>
      <c r="P613">
        <f t="shared" si="61"/>
        <v>40000</v>
      </c>
      <c r="Q613" t="str">
        <f t="shared" si="64"/>
        <v>technology</v>
      </c>
      <c r="R613" t="str">
        <f t="shared" si="65"/>
        <v>web</v>
      </c>
      <c r="S613" s="9">
        <f t="shared" si="62"/>
        <v>42328.352280092593</v>
      </c>
      <c r="T613" s="9">
        <f t="shared" si="63"/>
        <v>42388.352280092593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60"/>
        <v>0</v>
      </c>
      <c r="P614">
        <f t="shared" si="61"/>
        <v>5000</v>
      </c>
      <c r="Q614" t="str">
        <f t="shared" si="64"/>
        <v>technology</v>
      </c>
      <c r="R614" t="str">
        <f t="shared" si="65"/>
        <v>web</v>
      </c>
      <c r="S614" s="9">
        <f t="shared" si="62"/>
        <v>42584.823449074072</v>
      </c>
      <c r="T614" s="9">
        <f t="shared" si="63"/>
        <v>42614.823449074072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60"/>
        <v>0.21363333333333334</v>
      </c>
      <c r="P615">
        <f t="shared" si="61"/>
        <v>36409</v>
      </c>
      <c r="Q615" t="str">
        <f t="shared" si="64"/>
        <v>technology</v>
      </c>
      <c r="R615" t="str">
        <f t="shared" si="65"/>
        <v>web</v>
      </c>
      <c r="S615" s="9">
        <f t="shared" si="62"/>
        <v>42247.288425925923</v>
      </c>
      <c r="T615" s="9">
        <f t="shared" si="63"/>
        <v>42277.999305555553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60"/>
        <v>0</v>
      </c>
      <c r="P616">
        <f t="shared" si="61"/>
        <v>5000</v>
      </c>
      <c r="Q616" t="str">
        <f t="shared" si="64"/>
        <v>technology</v>
      </c>
      <c r="R616" t="str">
        <f t="shared" si="65"/>
        <v>web</v>
      </c>
      <c r="S616" s="9">
        <f t="shared" si="62"/>
        <v>42514.853472222218</v>
      </c>
      <c r="T616" s="9">
        <f t="shared" si="63"/>
        <v>42544.853472222218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60"/>
        <v>0</v>
      </c>
      <c r="P617">
        <f t="shared" si="61"/>
        <v>257.5</v>
      </c>
      <c r="Q617" t="str">
        <f t="shared" si="64"/>
        <v>technology</v>
      </c>
      <c r="R617" t="str">
        <f t="shared" si="65"/>
        <v>web</v>
      </c>
      <c r="S617" s="9">
        <f t="shared" si="62"/>
        <v>42241.913877314808</v>
      </c>
      <c r="T617" s="9">
        <f t="shared" si="63"/>
        <v>42271.913877314808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60"/>
        <v>0</v>
      </c>
      <c r="P618">
        <f t="shared" si="61"/>
        <v>2500</v>
      </c>
      <c r="Q618" t="str">
        <f t="shared" si="64"/>
        <v>technology</v>
      </c>
      <c r="R618" t="str">
        <f t="shared" si="65"/>
        <v>web</v>
      </c>
      <c r="S618" s="9">
        <f t="shared" si="62"/>
        <v>42761.167905092589</v>
      </c>
      <c r="T618" s="9">
        <f t="shared" si="63"/>
        <v>42791.167905092589</v>
      </c>
    </row>
    <row r="619" spans="1:20" ht="43.5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60"/>
        <v>0.03</v>
      </c>
      <c r="P619">
        <f t="shared" si="61"/>
        <v>1030</v>
      </c>
      <c r="Q619" t="str">
        <f t="shared" si="64"/>
        <v>technology</v>
      </c>
      <c r="R619" t="str">
        <f t="shared" si="65"/>
        <v>web</v>
      </c>
      <c r="S619" s="9">
        <f t="shared" si="62"/>
        <v>42087.134756944441</v>
      </c>
      <c r="T619" s="9">
        <f t="shared" si="63"/>
        <v>42132.134756944441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60"/>
        <v>0</v>
      </c>
      <c r="P620">
        <f t="shared" si="61"/>
        <v>200</v>
      </c>
      <c r="Q620" t="str">
        <f t="shared" si="64"/>
        <v>technology</v>
      </c>
      <c r="R620" t="str">
        <f t="shared" si="65"/>
        <v>web</v>
      </c>
      <c r="S620" s="9">
        <f t="shared" si="62"/>
        <v>42317.60188657407</v>
      </c>
      <c r="T620" s="9">
        <f t="shared" si="63"/>
        <v>42347.60188657407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60"/>
        <v>3.9999999999999998E-7</v>
      </c>
      <c r="P621">
        <f t="shared" si="61"/>
        <v>1250000.5</v>
      </c>
      <c r="Q621" t="str">
        <f t="shared" si="64"/>
        <v>technology</v>
      </c>
      <c r="R621" t="str">
        <f t="shared" si="65"/>
        <v>web</v>
      </c>
      <c r="S621" s="9">
        <f t="shared" si="62"/>
        <v>41908.442013888889</v>
      </c>
      <c r="T621" s="9">
        <f t="shared" si="63"/>
        <v>41968.483680555553</v>
      </c>
    </row>
    <row r="622" spans="1:20" ht="29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60"/>
        <v>0.01</v>
      </c>
      <c r="P622">
        <f t="shared" si="61"/>
        <v>15150</v>
      </c>
      <c r="Q622" t="str">
        <f t="shared" si="64"/>
        <v>technology</v>
      </c>
      <c r="R622" t="str">
        <f t="shared" si="65"/>
        <v>web</v>
      </c>
      <c r="S622" s="9">
        <f t="shared" si="62"/>
        <v>41831.508541666662</v>
      </c>
      <c r="T622" s="9">
        <f t="shared" si="63"/>
        <v>41876.508541666662</v>
      </c>
    </row>
    <row r="623" spans="1:20" ht="43.5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60"/>
        <v>1.044E-2</v>
      </c>
      <c r="P623">
        <f t="shared" si="61"/>
        <v>12630.5</v>
      </c>
      <c r="Q623" t="str">
        <f t="shared" si="64"/>
        <v>technology</v>
      </c>
      <c r="R623" t="str">
        <f t="shared" si="65"/>
        <v>web</v>
      </c>
      <c r="S623" s="9">
        <f t="shared" si="62"/>
        <v>42528.779363425921</v>
      </c>
      <c r="T623" s="9">
        <f t="shared" si="63"/>
        <v>42558.779363425921</v>
      </c>
    </row>
    <row r="624" spans="1:20" ht="43.5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60"/>
        <v>5.6833333333333333E-2</v>
      </c>
      <c r="P624">
        <f t="shared" si="61"/>
        <v>3170.5</v>
      </c>
      <c r="Q624" t="str">
        <f t="shared" si="64"/>
        <v>technology</v>
      </c>
      <c r="R624" t="str">
        <f t="shared" si="65"/>
        <v>web</v>
      </c>
      <c r="S624" s="9">
        <f t="shared" si="62"/>
        <v>42532.566412037035</v>
      </c>
      <c r="T624" s="9">
        <f t="shared" si="63"/>
        <v>42552.566412037035</v>
      </c>
    </row>
    <row r="625" spans="1:20" ht="43.5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60"/>
        <v>0</v>
      </c>
      <c r="P625">
        <f t="shared" si="61"/>
        <v>37500</v>
      </c>
      <c r="Q625" t="str">
        <f t="shared" si="64"/>
        <v>technology</v>
      </c>
      <c r="R625" t="str">
        <f t="shared" si="65"/>
        <v>web</v>
      </c>
      <c r="S625" s="9">
        <f t="shared" si="62"/>
        <v>42121.800891203697</v>
      </c>
      <c r="T625" s="9">
        <f t="shared" si="63"/>
        <v>42151.800891203697</v>
      </c>
    </row>
    <row r="626" spans="1:20" ht="29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60"/>
        <v>0</v>
      </c>
      <c r="P626">
        <f t="shared" si="61"/>
        <v>2500</v>
      </c>
      <c r="Q626" t="str">
        <f t="shared" si="64"/>
        <v>technology</v>
      </c>
      <c r="R626" t="str">
        <f t="shared" si="65"/>
        <v>web</v>
      </c>
      <c r="S626" s="9">
        <f t="shared" si="62"/>
        <v>42108.78056712963</v>
      </c>
      <c r="T626" s="9">
        <f t="shared" si="63"/>
        <v>42138.78056712963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60"/>
        <v>0</v>
      </c>
      <c r="P627">
        <f t="shared" si="61"/>
        <v>12500</v>
      </c>
      <c r="Q627" t="str">
        <f t="shared" si="64"/>
        <v>technology</v>
      </c>
      <c r="R627" t="str">
        <f t="shared" si="65"/>
        <v>web</v>
      </c>
      <c r="S627" s="9">
        <f t="shared" si="62"/>
        <v>42790.687233796292</v>
      </c>
      <c r="T627" s="9">
        <f t="shared" si="63"/>
        <v>42820.645567129628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60"/>
        <v>0.17380000000000001</v>
      </c>
      <c r="P628">
        <f t="shared" si="61"/>
        <v>14672.5</v>
      </c>
      <c r="Q628" t="str">
        <f t="shared" si="64"/>
        <v>technology</v>
      </c>
      <c r="R628" t="str">
        <f t="shared" si="65"/>
        <v>web</v>
      </c>
      <c r="S628" s="9">
        <f t="shared" si="62"/>
        <v>42198.351145833331</v>
      </c>
      <c r="T628" s="9">
        <f t="shared" si="63"/>
        <v>42231.348611111105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60"/>
        <v>2.0000000000000001E-4</v>
      </c>
      <c r="P629">
        <f t="shared" si="61"/>
        <v>225045</v>
      </c>
      <c r="Q629" t="str">
        <f t="shared" si="64"/>
        <v>technology</v>
      </c>
      <c r="R629" t="str">
        <f t="shared" si="65"/>
        <v>web</v>
      </c>
      <c r="S629" s="9">
        <f t="shared" si="62"/>
        <v>42384.098506944443</v>
      </c>
      <c r="T629" s="9">
        <f t="shared" si="63"/>
        <v>42443.749999999993</v>
      </c>
    </row>
    <row r="630" spans="1:20" ht="29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60"/>
        <v>0</v>
      </c>
      <c r="P630">
        <f t="shared" si="61"/>
        <v>2500</v>
      </c>
      <c r="Q630" t="str">
        <f t="shared" si="64"/>
        <v>technology</v>
      </c>
      <c r="R630" t="str">
        <f t="shared" si="65"/>
        <v>web</v>
      </c>
      <c r="S630" s="9">
        <f t="shared" si="62"/>
        <v>41803.484456018516</v>
      </c>
      <c r="T630" s="9">
        <f t="shared" si="63"/>
        <v>41833.484456018516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60"/>
        <v>1.75E-3</v>
      </c>
      <c r="P631">
        <f t="shared" si="61"/>
        <v>100175</v>
      </c>
      <c r="Q631" t="str">
        <f t="shared" si="64"/>
        <v>technology</v>
      </c>
      <c r="R631" t="str">
        <f t="shared" si="65"/>
        <v>web</v>
      </c>
      <c r="S631" s="9">
        <f t="shared" si="62"/>
        <v>42474.429490740738</v>
      </c>
      <c r="T631" s="9">
        <f t="shared" si="63"/>
        <v>42504.429490740738</v>
      </c>
    </row>
    <row r="632" spans="1:20" ht="43.5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60"/>
        <v>8.3340278356529708E-4</v>
      </c>
      <c r="P632">
        <f t="shared" si="61"/>
        <v>6004.5</v>
      </c>
      <c r="Q632" t="str">
        <f t="shared" si="64"/>
        <v>technology</v>
      </c>
      <c r="R632" t="str">
        <f t="shared" si="65"/>
        <v>web</v>
      </c>
      <c r="S632" s="9">
        <f t="shared" si="62"/>
        <v>42223.411122685182</v>
      </c>
      <c r="T632" s="9">
        <f t="shared" si="63"/>
        <v>42253.006944444445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60"/>
        <v>1.38E-2</v>
      </c>
      <c r="P633">
        <f t="shared" si="61"/>
        <v>25345</v>
      </c>
      <c r="Q633" t="str">
        <f t="shared" si="64"/>
        <v>technology</v>
      </c>
      <c r="R633" t="str">
        <f t="shared" si="65"/>
        <v>web</v>
      </c>
      <c r="S633" s="9">
        <f t="shared" si="62"/>
        <v>42489.563993055555</v>
      </c>
      <c r="T633" s="9">
        <f t="shared" si="63"/>
        <v>42518.563993055555</v>
      </c>
    </row>
    <row r="634" spans="1:20" ht="29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60"/>
        <v>0</v>
      </c>
      <c r="P634">
        <f t="shared" si="61"/>
        <v>10000</v>
      </c>
      <c r="Q634" t="str">
        <f t="shared" si="64"/>
        <v>technology</v>
      </c>
      <c r="R634" t="str">
        <f t="shared" si="65"/>
        <v>web</v>
      </c>
      <c r="S634" s="9">
        <f t="shared" si="62"/>
        <v>42303.450983796291</v>
      </c>
      <c r="T634" s="9">
        <f t="shared" si="63"/>
        <v>42333.492650462962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60"/>
        <v>0.1245</v>
      </c>
      <c r="P635">
        <f t="shared" si="61"/>
        <v>5622.5</v>
      </c>
      <c r="Q635" t="str">
        <f t="shared" si="64"/>
        <v>technology</v>
      </c>
      <c r="R635" t="str">
        <f t="shared" si="65"/>
        <v>web</v>
      </c>
      <c r="S635" s="9">
        <f t="shared" si="62"/>
        <v>42507.090995370367</v>
      </c>
      <c r="T635" s="9">
        <f t="shared" si="63"/>
        <v>42538.749999999993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60"/>
        <v>2.0000000000000001E-4</v>
      </c>
      <c r="P636">
        <f t="shared" si="61"/>
        <v>2500.5</v>
      </c>
      <c r="Q636" t="str">
        <f t="shared" si="64"/>
        <v>technology</v>
      </c>
      <c r="R636" t="str">
        <f t="shared" si="65"/>
        <v>web</v>
      </c>
      <c r="S636" s="9">
        <f t="shared" si="62"/>
        <v>42031.720243055555</v>
      </c>
      <c r="T636" s="9">
        <f t="shared" si="63"/>
        <v>42061.720243055555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60"/>
        <v>8.0000000000000007E-5</v>
      </c>
      <c r="P637">
        <f t="shared" si="61"/>
        <v>12501</v>
      </c>
      <c r="Q637" t="str">
        <f t="shared" si="64"/>
        <v>technology</v>
      </c>
      <c r="R637" t="str">
        <f t="shared" si="65"/>
        <v>web</v>
      </c>
      <c r="S637" s="9">
        <f t="shared" si="62"/>
        <v>42075.883819444447</v>
      </c>
      <c r="T637" s="9">
        <f t="shared" si="63"/>
        <v>42105.883819444447</v>
      </c>
    </row>
    <row r="638" spans="1:20" ht="29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60"/>
        <v>2E-3</v>
      </c>
      <c r="P638">
        <f t="shared" si="61"/>
        <v>1002</v>
      </c>
      <c r="Q638" t="str">
        <f t="shared" si="64"/>
        <v>technology</v>
      </c>
      <c r="R638" t="str">
        <f t="shared" si="65"/>
        <v>web</v>
      </c>
      <c r="S638" s="9">
        <f t="shared" si="62"/>
        <v>42131.247106481482</v>
      </c>
      <c r="T638" s="9">
        <f t="shared" si="63"/>
        <v>42161.240972222215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60"/>
        <v>0</v>
      </c>
      <c r="P639">
        <f t="shared" si="61"/>
        <v>50000</v>
      </c>
      <c r="Q639" t="str">
        <f t="shared" si="64"/>
        <v>technology</v>
      </c>
      <c r="R639" t="str">
        <f t="shared" si="65"/>
        <v>web</v>
      </c>
      <c r="S639" s="9">
        <f t="shared" si="62"/>
        <v>42762.75368055555</v>
      </c>
      <c r="T639" s="9">
        <f t="shared" si="63"/>
        <v>42791.75277777778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60"/>
        <v>9.0000000000000006E-5</v>
      </c>
      <c r="P640">
        <f t="shared" si="61"/>
        <v>100009</v>
      </c>
      <c r="Q640" t="str">
        <f t="shared" si="64"/>
        <v>technology</v>
      </c>
      <c r="R640" t="str">
        <f t="shared" si="65"/>
        <v>web</v>
      </c>
      <c r="S640" s="9">
        <f t="shared" si="62"/>
        <v>42759.384976851848</v>
      </c>
      <c r="T640" s="9">
        <f t="shared" si="63"/>
        <v>42819.343310185184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60"/>
        <v>9.9999999999999995E-7</v>
      </c>
      <c r="P641">
        <f t="shared" si="61"/>
        <v>500000.5</v>
      </c>
      <c r="Q641" t="str">
        <f>IF(N641="technology/web","technology")</f>
        <v>technology</v>
      </c>
      <c r="R641" t="str">
        <f>IF(N641="technology/web","web")</f>
        <v>web</v>
      </c>
      <c r="S641" s="9">
        <f t="shared" si="62"/>
        <v>41865.374942129631</v>
      </c>
      <c r="T641" s="9">
        <f t="shared" si="63"/>
        <v>41925.374942129631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60"/>
        <v>1.4428571428571428</v>
      </c>
      <c r="P642">
        <f t="shared" si="61"/>
        <v>85.5</v>
      </c>
      <c r="Q642" t="str">
        <f>IF(N642="technology/wearables","technology")</f>
        <v>technology</v>
      </c>
      <c r="R642" t="str">
        <f>IF(N642="technology/wearables","wearables")</f>
        <v>wearables</v>
      </c>
      <c r="S642" s="9">
        <f t="shared" si="62"/>
        <v>42683.211979166663</v>
      </c>
      <c r="T642" s="9">
        <f t="shared" si="63"/>
        <v>42698.749999999993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6">E643/D643</f>
        <v>1.1916249999999999</v>
      </c>
      <c r="P643">
        <f t="shared" ref="P643:P706" si="67">AVERAGE(D643:E643)</f>
        <v>43832.5</v>
      </c>
      <c r="Q643" t="str">
        <f t="shared" ref="Q643:Q706" si="68">IF(N643="technology/wearables","technology")</f>
        <v>technology</v>
      </c>
      <c r="R643" t="str">
        <f t="shared" ref="R643:R706" si="69">IF(N643="technology/wearables","wearables")</f>
        <v>wearables</v>
      </c>
      <c r="S643" s="9">
        <f t="shared" ref="S643:S706" si="70">J643/86400+25569+(-5/24)</f>
        <v>42199.361666666664</v>
      </c>
      <c r="T643" s="9">
        <f t="shared" si="63"/>
        <v>42229.361666666664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6"/>
        <v>14.604850000000001</v>
      </c>
      <c r="P644">
        <f t="shared" si="67"/>
        <v>156048.5</v>
      </c>
      <c r="Q644" t="str">
        <f t="shared" si="68"/>
        <v>technology</v>
      </c>
      <c r="R644" t="str">
        <f t="shared" si="69"/>
        <v>wearables</v>
      </c>
      <c r="S644" s="9">
        <f t="shared" si="70"/>
        <v>42199.442986111106</v>
      </c>
      <c r="T644" s="9">
        <f t="shared" ref="T644:T707" si="71">I644/86400+25569+(-5/24)</f>
        <v>42235.442986111106</v>
      </c>
    </row>
    <row r="645" spans="1:20" ht="29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6"/>
        <v>1.0580799999999999</v>
      </c>
      <c r="P645">
        <f t="shared" si="67"/>
        <v>25726</v>
      </c>
      <c r="Q645" t="str">
        <f t="shared" si="68"/>
        <v>technology</v>
      </c>
      <c r="R645" t="str">
        <f t="shared" si="69"/>
        <v>wearables</v>
      </c>
      <c r="S645" s="9">
        <f t="shared" si="70"/>
        <v>42100.43373842592</v>
      </c>
      <c r="T645" s="9">
        <f t="shared" si="71"/>
        <v>42155.43373842592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6"/>
        <v>3.0011791999999997</v>
      </c>
      <c r="P646">
        <f t="shared" si="67"/>
        <v>50014.74</v>
      </c>
      <c r="Q646" t="str">
        <f t="shared" si="68"/>
        <v>technology</v>
      </c>
      <c r="R646" t="str">
        <f t="shared" si="69"/>
        <v>wearables</v>
      </c>
      <c r="S646" s="9">
        <f t="shared" si="70"/>
        <v>41898.457627314812</v>
      </c>
      <c r="T646" s="9">
        <f t="shared" si="71"/>
        <v>41940.833333333328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6"/>
        <v>2.7869999999999999</v>
      </c>
      <c r="P647">
        <f t="shared" si="67"/>
        <v>3787</v>
      </c>
      <c r="Q647" t="str">
        <f t="shared" si="68"/>
        <v>technology</v>
      </c>
      <c r="R647" t="str">
        <f t="shared" si="69"/>
        <v>wearables</v>
      </c>
      <c r="S647" s="9">
        <f t="shared" si="70"/>
        <v>42563.817986111106</v>
      </c>
      <c r="T647" s="9">
        <f t="shared" si="71"/>
        <v>42593.817986111106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6"/>
        <v>1.3187625000000001</v>
      </c>
      <c r="P648">
        <f t="shared" si="67"/>
        <v>927.505</v>
      </c>
      <c r="Q648" t="str">
        <f t="shared" si="68"/>
        <v>technology</v>
      </c>
      <c r="R648" t="str">
        <f t="shared" si="69"/>
        <v>wearables</v>
      </c>
      <c r="S648" s="9">
        <f t="shared" si="70"/>
        <v>41832.644293981481</v>
      </c>
      <c r="T648" s="9">
        <f t="shared" si="71"/>
        <v>41862.644293981481</v>
      </c>
    </row>
    <row r="649" spans="1:20" ht="43.5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6"/>
        <v>1.0705</v>
      </c>
      <c r="P649">
        <f t="shared" si="67"/>
        <v>2070.5</v>
      </c>
      <c r="Q649" t="str">
        <f t="shared" si="68"/>
        <v>technology</v>
      </c>
      <c r="R649" t="str">
        <f t="shared" si="69"/>
        <v>wearables</v>
      </c>
      <c r="S649" s="9">
        <f t="shared" si="70"/>
        <v>42416.559594907405</v>
      </c>
      <c r="T649" s="9">
        <f t="shared" si="71"/>
        <v>42446.517928240741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6"/>
        <v>1.2682285714285715</v>
      </c>
      <c r="P650">
        <f t="shared" si="67"/>
        <v>39694</v>
      </c>
      <c r="Q650" t="str">
        <f t="shared" si="68"/>
        <v>technology</v>
      </c>
      <c r="R650" t="str">
        <f t="shared" si="69"/>
        <v>wearables</v>
      </c>
      <c r="S650" s="9">
        <f t="shared" si="70"/>
        <v>41891.485046296293</v>
      </c>
      <c r="T650" s="9">
        <f t="shared" si="71"/>
        <v>41926.485046296293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6"/>
        <v>1.3996</v>
      </c>
      <c r="P651">
        <f t="shared" si="67"/>
        <v>2999.5</v>
      </c>
      <c r="Q651" t="str">
        <f t="shared" si="68"/>
        <v>technology</v>
      </c>
      <c r="R651" t="str">
        <f t="shared" si="69"/>
        <v>wearables</v>
      </c>
      <c r="S651" s="9">
        <f t="shared" si="70"/>
        <v>41877.703854166662</v>
      </c>
      <c r="T651" s="9">
        <f t="shared" si="71"/>
        <v>41898.703854166662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6"/>
        <v>1.1240000000000001</v>
      </c>
      <c r="P652">
        <f t="shared" si="67"/>
        <v>1593</v>
      </c>
      <c r="Q652" t="str">
        <f t="shared" si="68"/>
        <v>technology</v>
      </c>
      <c r="R652" t="str">
        <f t="shared" si="69"/>
        <v>wearables</v>
      </c>
      <c r="S652" s="9">
        <f t="shared" si="70"/>
        <v>41931.828518518516</v>
      </c>
      <c r="T652" s="9">
        <f t="shared" si="71"/>
        <v>41991.870185185187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6"/>
        <v>1.00528</v>
      </c>
      <c r="P653">
        <f t="shared" si="67"/>
        <v>25066</v>
      </c>
      <c r="Q653" t="str">
        <f t="shared" si="68"/>
        <v>technology</v>
      </c>
      <c r="R653" t="str">
        <f t="shared" si="69"/>
        <v>wearables</v>
      </c>
      <c r="S653" s="9">
        <f t="shared" si="70"/>
        <v>41955.809155092589</v>
      </c>
      <c r="T653" s="9">
        <f t="shared" si="71"/>
        <v>41985.809155092589</v>
      </c>
    </row>
    <row r="654" spans="1:20" ht="43.5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6"/>
        <v>1.0046666666666666</v>
      </c>
      <c r="P654">
        <f t="shared" si="67"/>
        <v>3007</v>
      </c>
      <c r="Q654" t="str">
        <f t="shared" si="68"/>
        <v>technology</v>
      </c>
      <c r="R654" t="str">
        <f t="shared" si="69"/>
        <v>wearables</v>
      </c>
      <c r="S654" s="9">
        <f t="shared" si="70"/>
        <v>42675.482060185182</v>
      </c>
      <c r="T654" s="9">
        <f t="shared" si="71"/>
        <v>42705.523726851847</v>
      </c>
    </row>
    <row r="655" spans="1:20" ht="43.5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6"/>
        <v>1.4144600000000001</v>
      </c>
      <c r="P655">
        <f t="shared" si="67"/>
        <v>90542.25</v>
      </c>
      <c r="Q655" t="str">
        <f t="shared" si="68"/>
        <v>technology</v>
      </c>
      <c r="R655" t="str">
        <f t="shared" si="69"/>
        <v>wearables</v>
      </c>
      <c r="S655" s="9">
        <f t="shared" si="70"/>
        <v>42199.410185185181</v>
      </c>
      <c r="T655" s="9">
        <f t="shared" si="71"/>
        <v>42236.410185185181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6"/>
        <v>2.6729166666666666</v>
      </c>
      <c r="P656">
        <f t="shared" si="67"/>
        <v>22037.5</v>
      </c>
      <c r="Q656" t="str">
        <f t="shared" si="68"/>
        <v>technology</v>
      </c>
      <c r="R656" t="str">
        <f t="shared" si="69"/>
        <v>wearables</v>
      </c>
      <c r="S656" s="9">
        <f t="shared" si="70"/>
        <v>42163.748993055553</v>
      </c>
      <c r="T656" s="9">
        <f t="shared" si="71"/>
        <v>42193.748993055553</v>
      </c>
    </row>
    <row r="657" spans="1:20" ht="29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6"/>
        <v>1.4688749999999999</v>
      </c>
      <c r="P657">
        <f t="shared" si="67"/>
        <v>9875.5</v>
      </c>
      <c r="Q657" t="str">
        <f t="shared" si="68"/>
        <v>technology</v>
      </c>
      <c r="R657" t="str">
        <f t="shared" si="69"/>
        <v>wearables</v>
      </c>
      <c r="S657" s="9">
        <f t="shared" si="70"/>
        <v>42045.748981481483</v>
      </c>
      <c r="T657" s="9">
        <f t="shared" si="71"/>
        <v>42075.707314814812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6"/>
        <v>2.1356000000000002</v>
      </c>
      <c r="P658">
        <f t="shared" si="67"/>
        <v>7839</v>
      </c>
      <c r="Q658" t="str">
        <f t="shared" si="68"/>
        <v>technology</v>
      </c>
      <c r="R658" t="str">
        <f t="shared" si="69"/>
        <v>wearables</v>
      </c>
      <c r="S658" s="9">
        <f t="shared" si="70"/>
        <v>42417.596284722218</v>
      </c>
      <c r="T658" s="9">
        <f t="shared" si="71"/>
        <v>42477.554618055554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6"/>
        <v>1.2569999999999999</v>
      </c>
      <c r="P659">
        <f t="shared" si="67"/>
        <v>16927.5</v>
      </c>
      <c r="Q659" t="str">
        <f t="shared" si="68"/>
        <v>technology</v>
      </c>
      <c r="R659" t="str">
        <f t="shared" si="69"/>
        <v>wearables</v>
      </c>
      <c r="S659" s="9">
        <f t="shared" si="70"/>
        <v>42331.637407407405</v>
      </c>
      <c r="T659" s="9">
        <f t="shared" si="71"/>
        <v>42361.637407407405</v>
      </c>
    </row>
    <row r="660" spans="1:20" ht="43.5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6"/>
        <v>1.0446206037108834</v>
      </c>
      <c r="P660">
        <f t="shared" si="67"/>
        <v>29532.5</v>
      </c>
      <c r="Q660" t="str">
        <f t="shared" si="68"/>
        <v>technology</v>
      </c>
      <c r="R660" t="str">
        <f t="shared" si="69"/>
        <v>wearables</v>
      </c>
      <c r="S660" s="9">
        <f t="shared" si="70"/>
        <v>42178.952418981477</v>
      </c>
      <c r="T660" s="9">
        <f t="shared" si="71"/>
        <v>42211.541666666664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6"/>
        <v>1.0056666666666667</v>
      </c>
      <c r="P661">
        <f t="shared" si="67"/>
        <v>3008.5</v>
      </c>
      <c r="Q661" t="str">
        <f t="shared" si="68"/>
        <v>technology</v>
      </c>
      <c r="R661" t="str">
        <f t="shared" si="69"/>
        <v>wearables</v>
      </c>
      <c r="S661" s="9">
        <f t="shared" si="70"/>
        <v>42209.385358796295</v>
      </c>
      <c r="T661" s="9">
        <f t="shared" si="71"/>
        <v>42239.385358796295</v>
      </c>
    </row>
    <row r="662" spans="1:20" ht="43.5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6"/>
        <v>3.058E-2</v>
      </c>
      <c r="P662">
        <f t="shared" si="67"/>
        <v>25764.5</v>
      </c>
      <c r="Q662" t="str">
        <f t="shared" si="68"/>
        <v>technology</v>
      </c>
      <c r="R662" t="str">
        <f t="shared" si="69"/>
        <v>wearables</v>
      </c>
      <c r="S662" s="9">
        <f t="shared" si="70"/>
        <v>41922.533321759256</v>
      </c>
      <c r="T662" s="9">
        <f t="shared" si="71"/>
        <v>41952.57498842592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6"/>
        <v>9.4999999999999998E-3</v>
      </c>
      <c r="P663">
        <f t="shared" si="67"/>
        <v>5047.5</v>
      </c>
      <c r="Q663" t="str">
        <f t="shared" si="68"/>
        <v>technology</v>
      </c>
      <c r="R663" t="str">
        <f t="shared" si="69"/>
        <v>wearables</v>
      </c>
      <c r="S663" s="9">
        <f t="shared" si="70"/>
        <v>42636.437025462961</v>
      </c>
      <c r="T663" s="9">
        <f t="shared" si="71"/>
        <v>42666.437025462961</v>
      </c>
    </row>
    <row r="664" spans="1:20" ht="29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6"/>
        <v>4.0000000000000001E-3</v>
      </c>
      <c r="P664">
        <f t="shared" si="67"/>
        <v>19578</v>
      </c>
      <c r="Q664" t="str">
        <f t="shared" si="68"/>
        <v>technology</v>
      </c>
      <c r="R664" t="str">
        <f t="shared" si="69"/>
        <v>wearables</v>
      </c>
      <c r="S664" s="9">
        <f t="shared" si="70"/>
        <v>41990.229710648149</v>
      </c>
      <c r="T664" s="9">
        <f t="shared" si="71"/>
        <v>42020.229710648149</v>
      </c>
    </row>
    <row r="665" spans="1:20" ht="43.5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6"/>
        <v>3.5000000000000001E-3</v>
      </c>
      <c r="P665">
        <f t="shared" si="67"/>
        <v>100350</v>
      </c>
      <c r="Q665" t="str">
        <f t="shared" si="68"/>
        <v>technology</v>
      </c>
      <c r="R665" t="str">
        <f t="shared" si="69"/>
        <v>wearables</v>
      </c>
      <c r="S665" s="9">
        <f t="shared" si="70"/>
        <v>42173.634907407402</v>
      </c>
      <c r="T665" s="9">
        <f t="shared" si="71"/>
        <v>42203.634907407402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6"/>
        <v>7.5333333333333335E-2</v>
      </c>
      <c r="P666">
        <f t="shared" si="67"/>
        <v>6452</v>
      </c>
      <c r="Q666" t="str">
        <f t="shared" si="68"/>
        <v>technology</v>
      </c>
      <c r="R666" t="str">
        <f t="shared" si="69"/>
        <v>wearables</v>
      </c>
      <c r="S666" s="9">
        <f t="shared" si="70"/>
        <v>42077.458043981482</v>
      </c>
      <c r="T666" s="9">
        <f t="shared" si="71"/>
        <v>42107.458043981482</v>
      </c>
    </row>
    <row r="667" spans="1:20" ht="43.5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6"/>
        <v>0.18640000000000001</v>
      </c>
      <c r="P667">
        <f t="shared" si="67"/>
        <v>5932</v>
      </c>
      <c r="Q667" t="str">
        <f t="shared" si="68"/>
        <v>technology</v>
      </c>
      <c r="R667" t="str">
        <f t="shared" si="69"/>
        <v>wearables</v>
      </c>
      <c r="S667" s="9">
        <f t="shared" si="70"/>
        <v>42688.503020833326</v>
      </c>
      <c r="T667" s="9">
        <f t="shared" si="71"/>
        <v>42748.503020833326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6"/>
        <v>4.0000000000000003E-5</v>
      </c>
      <c r="P668">
        <f t="shared" si="67"/>
        <v>100004</v>
      </c>
      <c r="Q668" t="str">
        <f t="shared" si="68"/>
        <v>technology</v>
      </c>
      <c r="R668" t="str">
        <f t="shared" si="69"/>
        <v>wearables</v>
      </c>
      <c r="S668" s="9">
        <f t="shared" si="70"/>
        <v>41838.623819444438</v>
      </c>
      <c r="T668" s="9">
        <f t="shared" si="71"/>
        <v>41868.623819444438</v>
      </c>
    </row>
    <row r="669" spans="1:20" ht="43.5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6"/>
        <v>0.1002</v>
      </c>
      <c r="P669">
        <f t="shared" si="67"/>
        <v>27505</v>
      </c>
      <c r="Q669" t="str">
        <f t="shared" si="68"/>
        <v>technology</v>
      </c>
      <c r="R669" t="str">
        <f t="shared" si="69"/>
        <v>wearables</v>
      </c>
      <c r="S669" s="9">
        <f t="shared" si="70"/>
        <v>42632.165081018517</v>
      </c>
      <c r="T669" s="9">
        <f t="shared" si="71"/>
        <v>42672.165081018517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6"/>
        <v>4.5600000000000002E-2</v>
      </c>
      <c r="P670">
        <f t="shared" si="67"/>
        <v>7842</v>
      </c>
      <c r="Q670" t="str">
        <f t="shared" si="68"/>
        <v>technology</v>
      </c>
      <c r="R670" t="str">
        <f t="shared" si="69"/>
        <v>wearables</v>
      </c>
      <c r="S670" s="9">
        <f t="shared" si="70"/>
        <v>42090.622939814813</v>
      </c>
      <c r="T670" s="9">
        <f t="shared" si="71"/>
        <v>42135.622939814813</v>
      </c>
    </row>
    <row r="671" spans="1:20" ht="43.5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6"/>
        <v>0.21507499999999999</v>
      </c>
      <c r="P671">
        <f t="shared" si="67"/>
        <v>121507.5</v>
      </c>
      <c r="Q671" t="str">
        <f t="shared" si="68"/>
        <v>technology</v>
      </c>
      <c r="R671" t="str">
        <f t="shared" si="69"/>
        <v>wearables</v>
      </c>
      <c r="S671" s="9">
        <f t="shared" si="70"/>
        <v>42527.417337962957</v>
      </c>
      <c r="T671" s="9">
        <f t="shared" si="71"/>
        <v>42557.417337962957</v>
      </c>
    </row>
    <row r="672" spans="1:20" ht="43.5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6"/>
        <v>0.29276666666666668</v>
      </c>
      <c r="P672">
        <f t="shared" si="67"/>
        <v>58174.5</v>
      </c>
      <c r="Q672" t="str">
        <f t="shared" si="68"/>
        <v>technology</v>
      </c>
      <c r="R672" t="str">
        <f t="shared" si="69"/>
        <v>wearables</v>
      </c>
      <c r="S672" s="9">
        <f t="shared" si="70"/>
        <v>42506.501388888886</v>
      </c>
      <c r="T672" s="9">
        <f t="shared" si="71"/>
        <v>42540.131944444445</v>
      </c>
    </row>
    <row r="673" spans="1:20" ht="43.5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6"/>
        <v>0.39426666666666665</v>
      </c>
      <c r="P673">
        <f t="shared" si="67"/>
        <v>20914</v>
      </c>
      <c r="Q673" t="str">
        <f t="shared" si="68"/>
        <v>technology</v>
      </c>
      <c r="R673" t="str">
        <f t="shared" si="69"/>
        <v>wearables</v>
      </c>
      <c r="S673" s="9">
        <f t="shared" si="70"/>
        <v>41984.484398148146</v>
      </c>
      <c r="T673" s="9">
        <f t="shared" si="71"/>
        <v>42017.958333333336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6"/>
        <v>0.21628</v>
      </c>
      <c r="P674">
        <f t="shared" si="67"/>
        <v>30407</v>
      </c>
      <c r="Q674" t="str">
        <f t="shared" si="68"/>
        <v>technology</v>
      </c>
      <c r="R674" t="str">
        <f t="shared" si="69"/>
        <v>wearables</v>
      </c>
      <c r="S674" s="9">
        <f t="shared" si="70"/>
        <v>41974.011157407404</v>
      </c>
      <c r="T674" s="9">
        <f t="shared" si="71"/>
        <v>42004.999305555553</v>
      </c>
    </row>
    <row r="675" spans="1:20" ht="43.5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6"/>
        <v>2.0500000000000002E-3</v>
      </c>
      <c r="P675">
        <f t="shared" si="67"/>
        <v>50102.5</v>
      </c>
      <c r="Q675" t="str">
        <f t="shared" si="68"/>
        <v>technology</v>
      </c>
      <c r="R675" t="str">
        <f t="shared" si="69"/>
        <v>wearables</v>
      </c>
      <c r="S675" s="9">
        <f t="shared" si="70"/>
        <v>41838.6321412037</v>
      </c>
      <c r="T675" s="9">
        <f t="shared" si="71"/>
        <v>41883.6321412037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6"/>
        <v>2.9999999999999997E-4</v>
      </c>
      <c r="P676">
        <f t="shared" si="67"/>
        <v>25007.5</v>
      </c>
      <c r="Q676" t="str">
        <f t="shared" si="68"/>
        <v>technology</v>
      </c>
      <c r="R676" t="str">
        <f t="shared" si="69"/>
        <v>wearables</v>
      </c>
      <c r="S676" s="9">
        <f t="shared" si="70"/>
        <v>41802.907719907402</v>
      </c>
      <c r="T676" s="9">
        <f t="shared" si="71"/>
        <v>41862.907719907402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6"/>
        <v>0.14849999999999999</v>
      </c>
      <c r="P677">
        <f t="shared" si="67"/>
        <v>3445.5</v>
      </c>
      <c r="Q677" t="str">
        <f t="shared" si="68"/>
        <v>technology</v>
      </c>
      <c r="R677" t="str">
        <f t="shared" si="69"/>
        <v>wearables</v>
      </c>
      <c r="S677" s="9">
        <f t="shared" si="70"/>
        <v>41975.722268518519</v>
      </c>
      <c r="T677" s="9">
        <f t="shared" si="71"/>
        <v>42005.082638888889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6"/>
        <v>1.4710000000000001E-2</v>
      </c>
      <c r="P678">
        <f t="shared" si="67"/>
        <v>50735.5</v>
      </c>
      <c r="Q678" t="str">
        <f t="shared" si="68"/>
        <v>technology</v>
      </c>
      <c r="R678" t="str">
        <f t="shared" si="69"/>
        <v>wearables</v>
      </c>
      <c r="S678" s="9">
        <f t="shared" si="70"/>
        <v>42012.559965277775</v>
      </c>
      <c r="T678" s="9">
        <f t="shared" si="71"/>
        <v>42042.559965277775</v>
      </c>
    </row>
    <row r="679" spans="1:20" ht="43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6"/>
        <v>0.25584000000000001</v>
      </c>
      <c r="P679">
        <f t="shared" si="67"/>
        <v>31396</v>
      </c>
      <c r="Q679" t="str">
        <f t="shared" si="68"/>
        <v>technology</v>
      </c>
      <c r="R679" t="str">
        <f t="shared" si="69"/>
        <v>wearables</v>
      </c>
      <c r="S679" s="9">
        <f t="shared" si="70"/>
        <v>42504.195543981477</v>
      </c>
      <c r="T679" s="9">
        <f t="shared" si="71"/>
        <v>42549.195543981477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6"/>
        <v>3.8206896551724136E-2</v>
      </c>
      <c r="P680">
        <f t="shared" si="67"/>
        <v>15054</v>
      </c>
      <c r="Q680" t="str">
        <f t="shared" si="68"/>
        <v>technology</v>
      </c>
      <c r="R680" t="str">
        <f t="shared" si="69"/>
        <v>wearables</v>
      </c>
      <c r="S680" s="9">
        <f t="shared" si="70"/>
        <v>42481.168263888881</v>
      </c>
      <c r="T680" s="9">
        <f t="shared" si="71"/>
        <v>42511.168263888881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6"/>
        <v>0.15485964912280703</v>
      </c>
      <c r="P681">
        <f t="shared" si="67"/>
        <v>32913.5</v>
      </c>
      <c r="Q681" t="str">
        <f t="shared" si="68"/>
        <v>technology</v>
      </c>
      <c r="R681" t="str">
        <f t="shared" si="69"/>
        <v>wearables</v>
      </c>
      <c r="S681" s="9">
        <f t="shared" si="70"/>
        <v>42556.487372685187</v>
      </c>
      <c r="T681" s="9">
        <f t="shared" si="71"/>
        <v>42616.487372685187</v>
      </c>
    </row>
    <row r="682" spans="1:20" ht="43.5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6"/>
        <v>0.25912000000000002</v>
      </c>
      <c r="P682">
        <f t="shared" si="67"/>
        <v>47217</v>
      </c>
      <c r="Q682" t="str">
        <f t="shared" si="68"/>
        <v>technology</v>
      </c>
      <c r="R682" t="str">
        <f t="shared" si="69"/>
        <v>wearables</v>
      </c>
      <c r="S682" s="9">
        <f t="shared" si="70"/>
        <v>41864.293182870366</v>
      </c>
      <c r="T682" s="9">
        <f t="shared" si="71"/>
        <v>41899.293182870366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6"/>
        <v>4.0000000000000002E-4</v>
      </c>
      <c r="P683">
        <f t="shared" si="67"/>
        <v>1250.5</v>
      </c>
      <c r="Q683" t="str">
        <f t="shared" si="68"/>
        <v>technology</v>
      </c>
      <c r="R683" t="str">
        <f t="shared" si="69"/>
        <v>wearables</v>
      </c>
      <c r="S683" s="9">
        <f t="shared" si="70"/>
        <v>42639.597268518519</v>
      </c>
      <c r="T683" s="9">
        <f t="shared" si="71"/>
        <v>42669.597268518519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6"/>
        <v>1.06E-3</v>
      </c>
      <c r="P684">
        <f t="shared" si="67"/>
        <v>25026.5</v>
      </c>
      <c r="Q684" t="str">
        <f t="shared" si="68"/>
        <v>technology</v>
      </c>
      <c r="R684" t="str">
        <f t="shared" si="69"/>
        <v>wearables</v>
      </c>
      <c r="S684" s="9">
        <f t="shared" si="70"/>
        <v>42778.556967592587</v>
      </c>
      <c r="T684" s="9">
        <f t="shared" si="71"/>
        <v>42808.515300925923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6"/>
        <v>8.5142857142857138E-3</v>
      </c>
      <c r="P685">
        <f t="shared" si="67"/>
        <v>17649</v>
      </c>
      <c r="Q685" t="str">
        <f t="shared" si="68"/>
        <v>technology</v>
      </c>
      <c r="R685" t="str">
        <f t="shared" si="69"/>
        <v>wearables</v>
      </c>
      <c r="S685" s="9">
        <f t="shared" si="70"/>
        <v>42634.691712962966</v>
      </c>
      <c r="T685" s="9">
        <f t="shared" si="71"/>
        <v>42674.691712962966</v>
      </c>
    </row>
    <row r="686" spans="1:20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6"/>
        <v>7.4837500000000001E-2</v>
      </c>
      <c r="P686">
        <f t="shared" si="67"/>
        <v>171974</v>
      </c>
      <c r="Q686" t="str">
        <f t="shared" si="68"/>
        <v>technology</v>
      </c>
      <c r="R686" t="str">
        <f t="shared" si="69"/>
        <v>wearables</v>
      </c>
      <c r="S686" s="9">
        <f t="shared" si="70"/>
        <v>41809.26494212963</v>
      </c>
      <c r="T686" s="9">
        <f t="shared" si="71"/>
        <v>41844.916666666664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6"/>
        <v>0.27650000000000002</v>
      </c>
      <c r="P687">
        <f t="shared" si="67"/>
        <v>1276.5</v>
      </c>
      <c r="Q687" t="str">
        <f t="shared" si="68"/>
        <v>technology</v>
      </c>
      <c r="R687" t="str">
        <f t="shared" si="69"/>
        <v>wearables</v>
      </c>
      <c r="S687" s="9">
        <f t="shared" si="70"/>
        <v>41971.658240740733</v>
      </c>
      <c r="T687" s="9">
        <f t="shared" si="71"/>
        <v>42016.658240740733</v>
      </c>
    </row>
    <row r="688" spans="1:20" ht="43.5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6"/>
        <v>0</v>
      </c>
      <c r="P688">
        <f t="shared" si="67"/>
        <v>250000</v>
      </c>
      <c r="Q688" t="str">
        <f t="shared" si="68"/>
        <v>technology</v>
      </c>
      <c r="R688" t="str">
        <f t="shared" si="69"/>
        <v>wearables</v>
      </c>
      <c r="S688" s="9">
        <f t="shared" si="70"/>
        <v>42189.464930555558</v>
      </c>
      <c r="T688" s="9">
        <f t="shared" si="71"/>
        <v>42219.464930555558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6"/>
        <v>3.5499999999999997E-2</v>
      </c>
      <c r="P689">
        <f t="shared" si="67"/>
        <v>51775</v>
      </c>
      <c r="Q689" t="str">
        <f t="shared" si="68"/>
        <v>technology</v>
      </c>
      <c r="R689" t="str">
        <f t="shared" si="69"/>
        <v>wearables</v>
      </c>
      <c r="S689" s="9">
        <f t="shared" si="70"/>
        <v>42711.542280092595</v>
      </c>
      <c r="T689" s="9">
        <f t="shared" si="71"/>
        <v>42771.542280092595</v>
      </c>
    </row>
    <row r="690" spans="1:20" ht="43.5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6"/>
        <v>0.72989999999999999</v>
      </c>
      <c r="P690">
        <f t="shared" si="67"/>
        <v>17299</v>
      </c>
      <c r="Q690" t="str">
        <f t="shared" si="68"/>
        <v>technology</v>
      </c>
      <c r="R690" t="str">
        <f t="shared" si="69"/>
        <v>wearables</v>
      </c>
      <c r="S690" s="9">
        <f t="shared" si="70"/>
        <v>42261.896446759252</v>
      </c>
      <c r="T690" s="9">
        <f t="shared" si="71"/>
        <v>42291.896446759252</v>
      </c>
    </row>
    <row r="691" spans="1:20" ht="43.5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6"/>
        <v>0.57648750000000004</v>
      </c>
      <c r="P691">
        <f t="shared" si="67"/>
        <v>157648.75</v>
      </c>
      <c r="Q691" t="str">
        <f t="shared" si="68"/>
        <v>technology</v>
      </c>
      <c r="R691" t="str">
        <f t="shared" si="69"/>
        <v>wearables</v>
      </c>
      <c r="S691" s="9">
        <f t="shared" si="70"/>
        <v>42675.459456018514</v>
      </c>
      <c r="T691" s="9">
        <f t="shared" si="71"/>
        <v>42711.999305555553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6"/>
        <v>0.1234</v>
      </c>
      <c r="P692">
        <f t="shared" si="67"/>
        <v>11234</v>
      </c>
      <c r="Q692" t="str">
        <f t="shared" si="68"/>
        <v>technology</v>
      </c>
      <c r="R692" t="str">
        <f t="shared" si="69"/>
        <v>wearables</v>
      </c>
      <c r="S692" s="9">
        <f t="shared" si="70"/>
        <v>42579.426400462959</v>
      </c>
      <c r="T692" s="9">
        <f t="shared" si="71"/>
        <v>42622.041666666664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6"/>
        <v>5.1999999999999998E-3</v>
      </c>
      <c r="P693">
        <f t="shared" si="67"/>
        <v>25130</v>
      </c>
      <c r="Q693" t="str">
        <f t="shared" si="68"/>
        <v>technology</v>
      </c>
      <c r="R693" t="str">
        <f t="shared" si="69"/>
        <v>wearables</v>
      </c>
      <c r="S693" s="9">
        <f t="shared" si="70"/>
        <v>42157.819976851846</v>
      </c>
      <c r="T693" s="9">
        <f t="shared" si="71"/>
        <v>42185.819976851846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6"/>
        <v>6.5299999999999997E-2</v>
      </c>
      <c r="P694">
        <f t="shared" si="67"/>
        <v>10653</v>
      </c>
      <c r="Q694" t="str">
        <f t="shared" si="68"/>
        <v>technology</v>
      </c>
      <c r="R694" t="str">
        <f t="shared" si="69"/>
        <v>wearables</v>
      </c>
      <c r="S694" s="9">
        <f t="shared" si="70"/>
        <v>42696.167395833334</v>
      </c>
      <c r="T694" s="9">
        <f t="shared" si="71"/>
        <v>42726.167395833334</v>
      </c>
    </row>
    <row r="695" spans="1:20" ht="29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6"/>
        <v>0.35338000000000003</v>
      </c>
      <c r="P695">
        <f t="shared" si="67"/>
        <v>67669</v>
      </c>
      <c r="Q695" t="str">
        <f t="shared" si="68"/>
        <v>technology</v>
      </c>
      <c r="R695" t="str">
        <f t="shared" si="69"/>
        <v>wearables</v>
      </c>
      <c r="S695" s="9">
        <f t="shared" si="70"/>
        <v>42094.599849537037</v>
      </c>
      <c r="T695" s="9">
        <f t="shared" si="71"/>
        <v>42124.599849537037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6"/>
        <v>3.933333333333333E-3</v>
      </c>
      <c r="P696">
        <f t="shared" si="67"/>
        <v>75295</v>
      </c>
      <c r="Q696" t="str">
        <f t="shared" si="68"/>
        <v>technology</v>
      </c>
      <c r="R696" t="str">
        <f t="shared" si="69"/>
        <v>wearables</v>
      </c>
      <c r="S696" s="9">
        <f t="shared" si="70"/>
        <v>42737.455543981479</v>
      </c>
      <c r="T696" s="9">
        <f t="shared" si="71"/>
        <v>42767.455543981479</v>
      </c>
    </row>
    <row r="697" spans="1:20" ht="43.5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6"/>
        <v>1.06E-2</v>
      </c>
      <c r="P697">
        <f t="shared" si="67"/>
        <v>30318</v>
      </c>
      <c r="Q697" t="str">
        <f t="shared" si="68"/>
        <v>technology</v>
      </c>
      <c r="R697" t="str">
        <f t="shared" si="69"/>
        <v>wearables</v>
      </c>
      <c r="S697" s="9">
        <f t="shared" si="70"/>
        <v>41913.312731481477</v>
      </c>
      <c r="T697" s="9">
        <f t="shared" si="71"/>
        <v>41943.312731481477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6"/>
        <v>5.7142857142857145E-6</v>
      </c>
      <c r="P698">
        <f t="shared" si="67"/>
        <v>87500.5</v>
      </c>
      <c r="Q698" t="str">
        <f t="shared" si="68"/>
        <v>technology</v>
      </c>
      <c r="R698" t="str">
        <f t="shared" si="69"/>
        <v>wearables</v>
      </c>
      <c r="S698" s="9">
        <f t="shared" si="70"/>
        <v>41815.718773148146</v>
      </c>
      <c r="T698" s="9">
        <f t="shared" si="71"/>
        <v>41845.718773148146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6"/>
        <v>0.46379999999999999</v>
      </c>
      <c r="P699">
        <f t="shared" si="67"/>
        <v>3659.5</v>
      </c>
      <c r="Q699" t="str">
        <f t="shared" si="68"/>
        <v>technology</v>
      </c>
      <c r="R699" t="str">
        <f t="shared" si="69"/>
        <v>wearables</v>
      </c>
      <c r="S699" s="9">
        <f t="shared" si="70"/>
        <v>42388.314687500002</v>
      </c>
      <c r="T699" s="9">
        <f t="shared" si="71"/>
        <v>42403.314687500002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6"/>
        <v>0.15390000000000001</v>
      </c>
      <c r="P700">
        <f t="shared" si="67"/>
        <v>57695</v>
      </c>
      <c r="Q700" t="str">
        <f t="shared" si="68"/>
        <v>technology</v>
      </c>
      <c r="R700" t="str">
        <f t="shared" si="69"/>
        <v>wearables</v>
      </c>
      <c r="S700" s="9">
        <f t="shared" si="70"/>
        <v>41866.722743055558</v>
      </c>
      <c r="T700" s="9">
        <f t="shared" si="71"/>
        <v>41899.875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6"/>
        <v>0.824221076923077</v>
      </c>
      <c r="P701">
        <f t="shared" si="67"/>
        <v>118574.37</v>
      </c>
      <c r="Q701" t="str">
        <f t="shared" si="68"/>
        <v>technology</v>
      </c>
      <c r="R701" t="str">
        <f t="shared" si="69"/>
        <v>wearables</v>
      </c>
      <c r="S701" s="9">
        <f t="shared" si="70"/>
        <v>41563.277175925927</v>
      </c>
      <c r="T701" s="9">
        <f t="shared" si="71"/>
        <v>41600.458333333328</v>
      </c>
    </row>
    <row r="702" spans="1:20" ht="43.5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6"/>
        <v>2.6866666666666667E-2</v>
      </c>
      <c r="P702">
        <f t="shared" si="67"/>
        <v>7701.5</v>
      </c>
      <c r="Q702" t="str">
        <f t="shared" si="68"/>
        <v>technology</v>
      </c>
      <c r="R702" t="str">
        <f t="shared" si="69"/>
        <v>wearables</v>
      </c>
      <c r="S702" s="9">
        <f t="shared" si="70"/>
        <v>42715.480104166665</v>
      </c>
      <c r="T702" s="9">
        <f t="shared" si="71"/>
        <v>42745.480104166665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6"/>
        <v>0.26600000000000001</v>
      </c>
      <c r="P703">
        <f t="shared" si="67"/>
        <v>14559</v>
      </c>
      <c r="Q703" t="str">
        <f t="shared" si="68"/>
        <v>technology</v>
      </c>
      <c r="R703" t="str">
        <f t="shared" si="69"/>
        <v>wearables</v>
      </c>
      <c r="S703" s="9">
        <f t="shared" si="70"/>
        <v>41813.454629629625</v>
      </c>
      <c r="T703" s="9">
        <f t="shared" si="71"/>
        <v>41843.454629629625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6"/>
        <v>0.30813400000000002</v>
      </c>
      <c r="P704">
        <f t="shared" si="67"/>
        <v>9811.005000000001</v>
      </c>
      <c r="Q704" t="str">
        <f t="shared" si="68"/>
        <v>technology</v>
      </c>
      <c r="R704" t="str">
        <f t="shared" si="69"/>
        <v>wearables</v>
      </c>
      <c r="S704" s="9">
        <f t="shared" si="70"/>
        <v>42668.518368055556</v>
      </c>
      <c r="T704" s="9">
        <f t="shared" si="71"/>
        <v>42698.560034722221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6"/>
        <v>5.5800000000000002E-2</v>
      </c>
      <c r="P705">
        <f t="shared" si="67"/>
        <v>7918.5</v>
      </c>
      <c r="Q705" t="str">
        <f t="shared" si="68"/>
        <v>technology</v>
      </c>
      <c r="R705" t="str">
        <f t="shared" si="69"/>
        <v>wearables</v>
      </c>
      <c r="S705" s="9">
        <f t="shared" si="70"/>
        <v>42711.742465277777</v>
      </c>
      <c r="T705" s="9">
        <f t="shared" si="71"/>
        <v>42766.772222222215</v>
      </c>
    </row>
    <row r="706" spans="1:20" ht="29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6"/>
        <v>8.7454545454545458E-3</v>
      </c>
      <c r="P706">
        <f t="shared" si="67"/>
        <v>27740.5</v>
      </c>
      <c r="Q706" t="str">
        <f t="shared" si="68"/>
        <v>technology</v>
      </c>
      <c r="R706" t="str">
        <f t="shared" si="69"/>
        <v>wearables</v>
      </c>
      <c r="S706" s="9">
        <f t="shared" si="70"/>
        <v>42725.984583333331</v>
      </c>
      <c r="T706" s="9">
        <f t="shared" si="71"/>
        <v>42785.984583333331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72">E707/D707</f>
        <v>9.7699999999999992E-3</v>
      </c>
      <c r="P707">
        <f t="shared" ref="P707:P770" si="73">AVERAGE(D707:E707)</f>
        <v>50488.5</v>
      </c>
      <c r="Q707" t="str">
        <f t="shared" ref="Q707:Q720" si="74">IF(N707="technology/wearables","technology")</f>
        <v>technology</v>
      </c>
      <c r="R707" t="str">
        <f t="shared" ref="R707:R720" si="75">IF(N707="technology/wearables","wearables")</f>
        <v>wearables</v>
      </c>
      <c r="S707" s="9">
        <f t="shared" ref="S707:S770" si="76">J707/86400+25569+(-5/24)</f>
        <v>42726.283310185179</v>
      </c>
      <c r="T707" s="9">
        <f t="shared" si="71"/>
        <v>42756.283310185179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72"/>
        <v>0</v>
      </c>
      <c r="P708">
        <f t="shared" si="73"/>
        <v>50000</v>
      </c>
      <c r="Q708" t="str">
        <f t="shared" si="74"/>
        <v>technology</v>
      </c>
      <c r="R708" t="str">
        <f t="shared" si="75"/>
        <v>wearables</v>
      </c>
      <c r="S708" s="9">
        <f t="shared" si="76"/>
        <v>42676.786840277775</v>
      </c>
      <c r="T708" s="9">
        <f t="shared" ref="T708:T771" si="77">I708/86400+25569+(-5/24)</f>
        <v>42718.568749999999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72"/>
        <v>0.78927352941176465</v>
      </c>
      <c r="P709">
        <f t="shared" si="73"/>
        <v>60835.3</v>
      </c>
      <c r="Q709" t="str">
        <f t="shared" si="74"/>
        <v>technology</v>
      </c>
      <c r="R709" t="str">
        <f t="shared" si="75"/>
        <v>wearables</v>
      </c>
      <c r="S709" s="9">
        <f t="shared" si="76"/>
        <v>42696.45517361111</v>
      </c>
      <c r="T709" s="9">
        <f t="shared" si="77"/>
        <v>42736.45517361111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72"/>
        <v>0.22092500000000001</v>
      </c>
      <c r="P710">
        <f t="shared" si="73"/>
        <v>24418.5</v>
      </c>
      <c r="Q710" t="str">
        <f t="shared" si="74"/>
        <v>technology</v>
      </c>
      <c r="R710" t="str">
        <f t="shared" si="75"/>
        <v>wearables</v>
      </c>
      <c r="S710" s="9">
        <f t="shared" si="76"/>
        <v>41835.372685185182</v>
      </c>
      <c r="T710" s="9">
        <f t="shared" si="77"/>
        <v>41895.372685185182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72"/>
        <v>4.0666666666666663E-3</v>
      </c>
      <c r="P711">
        <f t="shared" si="73"/>
        <v>7530.5</v>
      </c>
      <c r="Q711" t="str">
        <f t="shared" si="74"/>
        <v>technology</v>
      </c>
      <c r="R711" t="str">
        <f t="shared" si="75"/>
        <v>wearables</v>
      </c>
      <c r="S711" s="9">
        <f t="shared" si="76"/>
        <v>41947.832858796297</v>
      </c>
      <c r="T711" s="9">
        <f t="shared" si="77"/>
        <v>41977.832858796297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72"/>
        <v>0</v>
      </c>
      <c r="P712">
        <f t="shared" si="73"/>
        <v>600</v>
      </c>
      <c r="Q712" t="str">
        <f t="shared" si="74"/>
        <v>technology</v>
      </c>
      <c r="R712" t="str">
        <f t="shared" si="75"/>
        <v>wearables</v>
      </c>
      <c r="S712" s="9">
        <f t="shared" si="76"/>
        <v>41837.776643518519</v>
      </c>
      <c r="T712" s="9">
        <f t="shared" si="77"/>
        <v>41870.822222222218</v>
      </c>
    </row>
    <row r="713" spans="1:20" ht="43.5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72"/>
        <v>0.33790999999999999</v>
      </c>
      <c r="P713">
        <f t="shared" si="73"/>
        <v>66895.5</v>
      </c>
      <c r="Q713" t="str">
        <f t="shared" si="74"/>
        <v>technology</v>
      </c>
      <c r="R713" t="str">
        <f t="shared" si="75"/>
        <v>wearables</v>
      </c>
      <c r="S713" s="9">
        <f t="shared" si="76"/>
        <v>42678.250787037039</v>
      </c>
      <c r="T713" s="9">
        <f t="shared" si="77"/>
        <v>42718.292453703696</v>
      </c>
    </row>
    <row r="714" spans="1:20" ht="43.5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72"/>
        <v>2.1649484536082476E-3</v>
      </c>
      <c r="P714">
        <f t="shared" si="73"/>
        <v>24302.5</v>
      </c>
      <c r="Q714" t="str">
        <f t="shared" si="74"/>
        <v>technology</v>
      </c>
      <c r="R714" t="str">
        <f t="shared" si="75"/>
        <v>wearables</v>
      </c>
      <c r="S714" s="9">
        <f t="shared" si="76"/>
        <v>42384.472592592589</v>
      </c>
      <c r="T714" s="9">
        <f t="shared" si="77"/>
        <v>42414.472592592589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72"/>
        <v>7.9600000000000001E-3</v>
      </c>
      <c r="P715">
        <f t="shared" si="73"/>
        <v>12599.5</v>
      </c>
      <c r="Q715" t="str">
        <f t="shared" si="74"/>
        <v>technology</v>
      </c>
      <c r="R715" t="str">
        <f t="shared" si="75"/>
        <v>wearables</v>
      </c>
      <c r="S715" s="9">
        <f t="shared" si="76"/>
        <v>42496.320972222216</v>
      </c>
      <c r="T715" s="9">
        <f t="shared" si="77"/>
        <v>42526.320972222216</v>
      </c>
    </row>
    <row r="716" spans="1:20" ht="29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72"/>
        <v>0.14993333333333334</v>
      </c>
      <c r="P716">
        <f t="shared" si="73"/>
        <v>8624.5</v>
      </c>
      <c r="Q716" t="str">
        <f t="shared" si="74"/>
        <v>technology</v>
      </c>
      <c r="R716" t="str">
        <f t="shared" si="75"/>
        <v>wearables</v>
      </c>
      <c r="S716" s="9">
        <f t="shared" si="76"/>
        <v>42734.579652777778</v>
      </c>
      <c r="T716" s="9">
        <f t="shared" si="77"/>
        <v>42794.579652777778</v>
      </c>
    </row>
    <row r="717" spans="1:20" ht="43.5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72"/>
        <v>5.0509090909090906E-2</v>
      </c>
      <c r="P717">
        <f t="shared" si="73"/>
        <v>14444.5</v>
      </c>
      <c r="Q717" t="str">
        <f t="shared" si="74"/>
        <v>technology</v>
      </c>
      <c r="R717" t="str">
        <f t="shared" si="75"/>
        <v>wearables</v>
      </c>
      <c r="S717" s="9">
        <f t="shared" si="76"/>
        <v>42272.8824074074</v>
      </c>
      <c r="T717" s="9">
        <f t="shared" si="77"/>
        <v>42312.924074074072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72"/>
        <v>0.10214285714285715</v>
      </c>
      <c r="P718">
        <f t="shared" si="73"/>
        <v>3857.5</v>
      </c>
      <c r="Q718" t="str">
        <f t="shared" si="74"/>
        <v>technology</v>
      </c>
      <c r="R718" t="str">
        <f t="shared" si="75"/>
        <v>wearables</v>
      </c>
      <c r="S718" s="9">
        <f t="shared" si="76"/>
        <v>41940.450312499997</v>
      </c>
      <c r="T718" s="9">
        <f t="shared" si="77"/>
        <v>41973.791666666664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72"/>
        <v>3.0500000000000002E-3</v>
      </c>
      <c r="P719">
        <f t="shared" si="73"/>
        <v>50152.5</v>
      </c>
      <c r="Q719" t="str">
        <f t="shared" si="74"/>
        <v>technology</v>
      </c>
      <c r="R719" t="str">
        <f t="shared" si="75"/>
        <v>wearables</v>
      </c>
      <c r="S719" s="9">
        <f t="shared" si="76"/>
        <v>41857.645856481475</v>
      </c>
      <c r="T719" s="9">
        <f t="shared" si="77"/>
        <v>41887.645856481475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72"/>
        <v>7.4999999999999997E-3</v>
      </c>
      <c r="P720">
        <f t="shared" si="73"/>
        <v>6045</v>
      </c>
      <c r="Q720" t="str">
        <f t="shared" si="74"/>
        <v>technology</v>
      </c>
      <c r="R720" t="str">
        <f t="shared" si="75"/>
        <v>wearables</v>
      </c>
      <c r="S720" s="9">
        <f t="shared" si="76"/>
        <v>42752.637118055551</v>
      </c>
      <c r="T720" s="9">
        <f t="shared" si="77"/>
        <v>42784.040972222218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72"/>
        <v>1.2933333333333333E-2</v>
      </c>
      <c r="P721">
        <f t="shared" si="73"/>
        <v>7597</v>
      </c>
      <c r="Q721" t="str">
        <f>IF(N721="technology/wearables","technology")</f>
        <v>technology</v>
      </c>
      <c r="R721" t="str">
        <f>IF(N721="technology/wearables","wearables")</f>
        <v>wearables</v>
      </c>
      <c r="S721" s="9">
        <f t="shared" si="76"/>
        <v>42408.83189814815</v>
      </c>
      <c r="T721" s="9">
        <f t="shared" si="77"/>
        <v>42422.83189814815</v>
      </c>
    </row>
    <row r="722" spans="1:20" ht="29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72"/>
        <v>1.4394736842105262</v>
      </c>
      <c r="P722">
        <f t="shared" si="73"/>
        <v>2317.5</v>
      </c>
      <c r="Q722" t="str">
        <f>IF(N722="publishing/nonfiction","publishing")</f>
        <v>publishing</v>
      </c>
      <c r="R722" t="str">
        <f>IF(N722="publishing/nonfiction","nonfiction")</f>
        <v>nonfiction</v>
      </c>
      <c r="S722" s="9">
        <f t="shared" si="76"/>
        <v>40909.440868055557</v>
      </c>
      <c r="T722" s="9">
        <f t="shared" si="77"/>
        <v>40937.440868055557</v>
      </c>
    </row>
    <row r="723" spans="1:20" ht="43.5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72"/>
        <v>1.2210975609756098</v>
      </c>
      <c r="P723">
        <f t="shared" si="73"/>
        <v>9106.5</v>
      </c>
      <c r="Q723" t="str">
        <f t="shared" ref="Q723:Q760" si="78">IF(N723="publishing/nonfiction","publishing")</f>
        <v>publishing</v>
      </c>
      <c r="R723" t="str">
        <f t="shared" ref="R723:R760" si="79">IF(N723="publishing/nonfiction","nonfiction")</f>
        <v>nonfiction</v>
      </c>
      <c r="S723" s="9">
        <f t="shared" si="76"/>
        <v>41807.363506944443</v>
      </c>
      <c r="T723" s="9">
        <f t="shared" si="77"/>
        <v>41852.363506944443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72"/>
        <v>1.3202400000000001</v>
      </c>
      <c r="P724">
        <f t="shared" si="73"/>
        <v>29003</v>
      </c>
      <c r="Q724" t="str">
        <f t="shared" si="78"/>
        <v>publishing</v>
      </c>
      <c r="R724" t="str">
        <f t="shared" si="79"/>
        <v>nonfiction</v>
      </c>
      <c r="S724" s="9">
        <f t="shared" si="76"/>
        <v>40977.596967592588</v>
      </c>
      <c r="T724" s="9">
        <f t="shared" si="77"/>
        <v>41007.555300925924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72"/>
        <v>1.0938000000000001</v>
      </c>
      <c r="P725">
        <f t="shared" si="73"/>
        <v>5234.5</v>
      </c>
      <c r="Q725" t="str">
        <f t="shared" si="78"/>
        <v>publishing</v>
      </c>
      <c r="R725" t="str">
        <f t="shared" si="79"/>
        <v>nonfiction</v>
      </c>
      <c r="S725" s="9">
        <f t="shared" si="76"/>
        <v>42184.608206018514</v>
      </c>
      <c r="T725" s="9">
        <f t="shared" si="77"/>
        <v>42214.957638888889</v>
      </c>
    </row>
    <row r="726" spans="1:20" ht="43.5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72"/>
        <v>1.0547157142857144</v>
      </c>
      <c r="P726">
        <f t="shared" si="73"/>
        <v>7191.5050000000001</v>
      </c>
      <c r="Q726" t="str">
        <f t="shared" si="78"/>
        <v>publishing</v>
      </c>
      <c r="R726" t="str">
        <f t="shared" si="79"/>
        <v>nonfiction</v>
      </c>
      <c r="S726" s="9">
        <f t="shared" si="76"/>
        <v>40694.430127314808</v>
      </c>
      <c r="T726" s="9">
        <f t="shared" si="77"/>
        <v>40724.430127314808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72"/>
        <v>1.0035000000000001</v>
      </c>
      <c r="P727">
        <f t="shared" si="73"/>
        <v>20035</v>
      </c>
      <c r="Q727" t="str">
        <f t="shared" si="78"/>
        <v>publishing</v>
      </c>
      <c r="R727" t="str">
        <f t="shared" si="79"/>
        <v>nonfiction</v>
      </c>
      <c r="S727" s="9">
        <f t="shared" si="76"/>
        <v>42321.417962962958</v>
      </c>
      <c r="T727" s="9">
        <f t="shared" si="77"/>
        <v>42351.417962962958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72"/>
        <v>1.014</v>
      </c>
      <c r="P728">
        <f t="shared" si="73"/>
        <v>2517.5</v>
      </c>
      <c r="Q728" t="str">
        <f t="shared" si="78"/>
        <v>publishing</v>
      </c>
      <c r="R728" t="str">
        <f t="shared" si="79"/>
        <v>nonfiction</v>
      </c>
      <c r="S728" s="9">
        <f t="shared" si="76"/>
        <v>41345.834340277775</v>
      </c>
      <c r="T728" s="9">
        <f t="shared" si="77"/>
        <v>41375.834340277775</v>
      </c>
    </row>
    <row r="729" spans="1:20" ht="43.5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72"/>
        <v>1.5551428571428572</v>
      </c>
      <c r="P729">
        <f t="shared" si="73"/>
        <v>4471.5</v>
      </c>
      <c r="Q729" t="str">
        <f t="shared" si="78"/>
        <v>publishing</v>
      </c>
      <c r="R729" t="str">
        <f t="shared" si="79"/>
        <v>nonfiction</v>
      </c>
      <c r="S729" s="9">
        <f t="shared" si="76"/>
        <v>41246.811909722222</v>
      </c>
      <c r="T729" s="9">
        <f t="shared" si="77"/>
        <v>41288.680555555555</v>
      </c>
    </row>
    <row r="730" spans="1:20" ht="29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72"/>
        <v>1.05566</v>
      </c>
      <c r="P730">
        <f t="shared" si="73"/>
        <v>7708.7250000000004</v>
      </c>
      <c r="Q730" t="str">
        <f t="shared" si="78"/>
        <v>publishing</v>
      </c>
      <c r="R730" t="str">
        <f t="shared" si="79"/>
        <v>nonfiction</v>
      </c>
      <c r="S730" s="9">
        <f t="shared" si="76"/>
        <v>40731.629131944443</v>
      </c>
      <c r="T730" s="9">
        <f t="shared" si="77"/>
        <v>40776.629131944443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72"/>
        <v>1.3065</v>
      </c>
      <c r="P731">
        <f t="shared" si="73"/>
        <v>4613</v>
      </c>
      <c r="Q731" t="str">
        <f t="shared" si="78"/>
        <v>publishing</v>
      </c>
      <c r="R731" t="str">
        <f t="shared" si="79"/>
        <v>nonfiction</v>
      </c>
      <c r="S731" s="9">
        <f t="shared" si="76"/>
        <v>41110.97755787037</v>
      </c>
      <c r="T731" s="9">
        <f t="shared" si="77"/>
        <v>41170.97755787037</v>
      </c>
    </row>
    <row r="732" spans="1:20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72"/>
        <v>1.3219000000000001</v>
      </c>
      <c r="P732">
        <f t="shared" si="73"/>
        <v>23219</v>
      </c>
      <c r="Q732" t="str">
        <f t="shared" si="78"/>
        <v>publishing</v>
      </c>
      <c r="R732" t="str">
        <f t="shared" si="79"/>
        <v>nonfiction</v>
      </c>
      <c r="S732" s="9">
        <f t="shared" si="76"/>
        <v>40854.536932870367</v>
      </c>
      <c r="T732" s="9">
        <f t="shared" si="77"/>
        <v>40884.536932870367</v>
      </c>
    </row>
    <row r="733" spans="1:20" ht="29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72"/>
        <v>1.26</v>
      </c>
      <c r="P733">
        <f t="shared" si="73"/>
        <v>5650</v>
      </c>
      <c r="Q733" t="str">
        <f t="shared" si="78"/>
        <v>publishing</v>
      </c>
      <c r="R733" t="str">
        <f t="shared" si="79"/>
        <v>nonfiction</v>
      </c>
      <c r="S733" s="9">
        <f t="shared" si="76"/>
        <v>40879.587349537032</v>
      </c>
      <c r="T733" s="9">
        <f t="shared" si="77"/>
        <v>40930.041666666664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72"/>
        <v>1.6</v>
      </c>
      <c r="P734">
        <f t="shared" si="73"/>
        <v>52</v>
      </c>
      <c r="Q734" t="str">
        <f t="shared" si="78"/>
        <v>publishing</v>
      </c>
      <c r="R734" t="str">
        <f t="shared" si="79"/>
        <v>nonfiction</v>
      </c>
      <c r="S734" s="9">
        <f t="shared" si="76"/>
        <v>41486.21598379629</v>
      </c>
      <c r="T734" s="9">
        <f t="shared" si="77"/>
        <v>41546.21598379629</v>
      </c>
    </row>
    <row r="735" spans="1:20" ht="43.5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72"/>
        <v>1.2048000000000001</v>
      </c>
      <c r="P735">
        <f t="shared" si="73"/>
        <v>2756</v>
      </c>
      <c r="Q735" t="str">
        <f t="shared" si="78"/>
        <v>publishing</v>
      </c>
      <c r="R735" t="str">
        <f t="shared" si="79"/>
        <v>nonfiction</v>
      </c>
      <c r="S735" s="9">
        <f t="shared" si="76"/>
        <v>41598.211712962962</v>
      </c>
      <c r="T735" s="9">
        <f t="shared" si="77"/>
        <v>41628.211712962962</v>
      </c>
    </row>
    <row r="736" spans="1:20" ht="29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72"/>
        <v>1.2552941176470589</v>
      </c>
      <c r="P736">
        <f t="shared" si="73"/>
        <v>9585</v>
      </c>
      <c r="Q736" t="str">
        <f t="shared" si="78"/>
        <v>publishing</v>
      </c>
      <c r="R736" t="str">
        <f t="shared" si="79"/>
        <v>nonfiction</v>
      </c>
      <c r="S736" s="9">
        <f t="shared" si="76"/>
        <v>42101.956249999996</v>
      </c>
      <c r="T736" s="9">
        <f t="shared" si="77"/>
        <v>42132.999999999993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72"/>
        <v>1.1440638297872341</v>
      </c>
      <c r="P737">
        <f t="shared" si="73"/>
        <v>50385.5</v>
      </c>
      <c r="Q737" t="str">
        <f t="shared" si="78"/>
        <v>publishing</v>
      </c>
      <c r="R737" t="str">
        <f t="shared" si="79"/>
        <v>nonfiction</v>
      </c>
      <c r="S737" s="9">
        <f t="shared" si="76"/>
        <v>41945.821134259255</v>
      </c>
      <c r="T737" s="9">
        <f t="shared" si="77"/>
        <v>41976.818749999999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72"/>
        <v>3.151388888888889</v>
      </c>
      <c r="P738">
        <f t="shared" si="73"/>
        <v>7472.5</v>
      </c>
      <c r="Q738" t="str">
        <f t="shared" si="78"/>
        <v>publishing</v>
      </c>
      <c r="R738" t="str">
        <f t="shared" si="79"/>
        <v>nonfiction</v>
      </c>
      <c r="S738" s="9">
        <f t="shared" si="76"/>
        <v>41579.525925925926</v>
      </c>
      <c r="T738" s="9">
        <f t="shared" si="77"/>
        <v>41598.999305555553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72"/>
        <v>1.224</v>
      </c>
      <c r="P739">
        <f t="shared" si="73"/>
        <v>5560</v>
      </c>
      <c r="Q739" t="str">
        <f t="shared" si="78"/>
        <v>publishing</v>
      </c>
      <c r="R739" t="str">
        <f t="shared" si="79"/>
        <v>nonfiction</v>
      </c>
      <c r="S739" s="9">
        <f t="shared" si="76"/>
        <v>41667.066979166666</v>
      </c>
      <c r="T739" s="9">
        <f t="shared" si="77"/>
        <v>41684.625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72"/>
        <v>1.0673333333333332</v>
      </c>
      <c r="P740">
        <f t="shared" si="73"/>
        <v>1550.5</v>
      </c>
      <c r="Q740" t="str">
        <f t="shared" si="78"/>
        <v>publishing</v>
      </c>
      <c r="R740" t="str">
        <f t="shared" si="79"/>
        <v>nonfiction</v>
      </c>
      <c r="S740" s="9">
        <f t="shared" si="76"/>
        <v>41943.39576388889</v>
      </c>
      <c r="T740" s="9">
        <f t="shared" si="77"/>
        <v>41973.999305555553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72"/>
        <v>1.5833333333333333</v>
      </c>
      <c r="P741">
        <f t="shared" si="73"/>
        <v>7750</v>
      </c>
      <c r="Q741" t="str">
        <f t="shared" si="78"/>
        <v>publishing</v>
      </c>
      <c r="R741" t="str">
        <f t="shared" si="79"/>
        <v>nonfiction</v>
      </c>
      <c r="S741" s="9">
        <f t="shared" si="76"/>
        <v>41829.294317129628</v>
      </c>
      <c r="T741" s="9">
        <f t="shared" si="77"/>
        <v>41862.294317129628</v>
      </c>
    </row>
    <row r="742" spans="1:20" ht="43.5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72"/>
        <v>1.0740000000000001</v>
      </c>
      <c r="P742">
        <f t="shared" si="73"/>
        <v>3111</v>
      </c>
      <c r="Q742" t="str">
        <f t="shared" si="78"/>
        <v>publishing</v>
      </c>
      <c r="R742" t="str">
        <f t="shared" si="79"/>
        <v>nonfiction</v>
      </c>
      <c r="S742" s="9">
        <f t="shared" si="76"/>
        <v>42161.93844907407</v>
      </c>
      <c r="T742" s="9">
        <f t="shared" si="77"/>
        <v>42175.93844907407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72"/>
        <v>1.0226</v>
      </c>
      <c r="P743">
        <f t="shared" si="73"/>
        <v>13146.9</v>
      </c>
      <c r="Q743" t="str">
        <f t="shared" si="78"/>
        <v>publishing</v>
      </c>
      <c r="R743" t="str">
        <f t="shared" si="79"/>
        <v>nonfiction</v>
      </c>
      <c r="S743" s="9">
        <f t="shared" si="76"/>
        <v>41401.439884259256</v>
      </c>
      <c r="T743" s="9">
        <f t="shared" si="77"/>
        <v>41436.439884259256</v>
      </c>
    </row>
    <row r="744" spans="1:20" ht="43.5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72"/>
        <v>1.1071428571428572</v>
      </c>
      <c r="P744">
        <f t="shared" si="73"/>
        <v>1475</v>
      </c>
      <c r="Q744" t="str">
        <f t="shared" si="78"/>
        <v>publishing</v>
      </c>
      <c r="R744" t="str">
        <f t="shared" si="79"/>
        <v>nonfiction</v>
      </c>
      <c r="S744" s="9">
        <f t="shared" si="76"/>
        <v>41689.709629629629</v>
      </c>
      <c r="T744" s="9">
        <f t="shared" si="77"/>
        <v>41719.667962962958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72"/>
        <v>1.48</v>
      </c>
      <c r="P745">
        <f t="shared" si="73"/>
        <v>682</v>
      </c>
      <c r="Q745" t="str">
        <f t="shared" si="78"/>
        <v>publishing</v>
      </c>
      <c r="R745" t="str">
        <f t="shared" si="79"/>
        <v>nonfiction</v>
      </c>
      <c r="S745" s="9">
        <f t="shared" si="76"/>
        <v>40990.500983796293</v>
      </c>
      <c r="T745" s="9">
        <f t="shared" si="77"/>
        <v>41015.666666666664</v>
      </c>
    </row>
    <row r="746" spans="1:20" ht="29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72"/>
        <v>1.0232000000000001</v>
      </c>
      <c r="P746">
        <f t="shared" si="73"/>
        <v>5058</v>
      </c>
      <c r="Q746" t="str">
        <f t="shared" si="78"/>
        <v>publishing</v>
      </c>
      <c r="R746" t="str">
        <f t="shared" si="79"/>
        <v>nonfiction</v>
      </c>
      <c r="S746" s="9">
        <f t="shared" si="76"/>
        <v>41226.748877314814</v>
      </c>
      <c r="T746" s="9">
        <f t="shared" si="77"/>
        <v>41256.748877314814</v>
      </c>
    </row>
    <row r="747" spans="1:20" ht="43.5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72"/>
        <v>1.7909909909909909</v>
      </c>
      <c r="P747">
        <f t="shared" si="73"/>
        <v>3098</v>
      </c>
      <c r="Q747" t="str">
        <f t="shared" si="78"/>
        <v>publishing</v>
      </c>
      <c r="R747" t="str">
        <f t="shared" si="79"/>
        <v>nonfiction</v>
      </c>
      <c r="S747" s="9">
        <f t="shared" si="76"/>
        <v>41367.363946759258</v>
      </c>
      <c r="T747" s="9">
        <f t="shared" si="77"/>
        <v>41397.363946759258</v>
      </c>
    </row>
    <row r="748" spans="1:20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72"/>
        <v>1.1108135252761968</v>
      </c>
      <c r="P748">
        <f t="shared" si="73"/>
        <v>3152.5</v>
      </c>
      <c r="Q748" t="str">
        <f t="shared" si="78"/>
        <v>publishing</v>
      </c>
      <c r="R748" t="str">
        <f t="shared" si="79"/>
        <v>nonfiction</v>
      </c>
      <c r="S748" s="9">
        <f t="shared" si="76"/>
        <v>41156.834594907406</v>
      </c>
      <c r="T748" s="9">
        <f t="shared" si="77"/>
        <v>41174.957638888889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72"/>
        <v>1.0004285714285714</v>
      </c>
      <c r="P749">
        <f t="shared" si="73"/>
        <v>7001.5</v>
      </c>
      <c r="Q749" t="str">
        <f t="shared" si="78"/>
        <v>publishing</v>
      </c>
      <c r="R749" t="str">
        <f t="shared" si="79"/>
        <v>nonfiction</v>
      </c>
      <c r="S749" s="9">
        <f t="shared" si="76"/>
        <v>41988.340497685182</v>
      </c>
      <c r="T749" s="9">
        <f t="shared" si="77"/>
        <v>42019.245833333327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72"/>
        <v>1.0024999999999999</v>
      </c>
      <c r="P750">
        <f t="shared" si="73"/>
        <v>2002.5</v>
      </c>
      <c r="Q750" t="str">
        <f t="shared" si="78"/>
        <v>publishing</v>
      </c>
      <c r="R750" t="str">
        <f t="shared" si="79"/>
        <v>nonfiction</v>
      </c>
      <c r="S750" s="9">
        <f t="shared" si="76"/>
        <v>41831.638495370367</v>
      </c>
      <c r="T750" s="9">
        <f t="shared" si="77"/>
        <v>41861.638495370367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72"/>
        <v>1.0556000000000001</v>
      </c>
      <c r="P751">
        <f t="shared" si="73"/>
        <v>10278</v>
      </c>
      <c r="Q751" t="str">
        <f t="shared" si="78"/>
        <v>publishing</v>
      </c>
      <c r="R751" t="str">
        <f t="shared" si="79"/>
        <v>nonfiction</v>
      </c>
      <c r="S751" s="9">
        <f t="shared" si="76"/>
        <v>42733.732986111114</v>
      </c>
      <c r="T751" s="9">
        <f t="shared" si="77"/>
        <v>42763.732986111114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72"/>
        <v>1.0258775877587758</v>
      </c>
      <c r="P752">
        <f t="shared" si="73"/>
        <v>4501.5</v>
      </c>
      <c r="Q752" t="str">
        <f t="shared" si="78"/>
        <v>publishing</v>
      </c>
      <c r="R752" t="str">
        <f t="shared" si="79"/>
        <v>nonfiction</v>
      </c>
      <c r="S752" s="9">
        <f t="shared" si="76"/>
        <v>41299.669814814813</v>
      </c>
      <c r="T752" s="9">
        <f t="shared" si="77"/>
        <v>41329.669814814813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72"/>
        <v>1.1850000000000001</v>
      </c>
      <c r="P753">
        <f t="shared" si="73"/>
        <v>3277.5</v>
      </c>
      <c r="Q753" t="str">
        <f t="shared" si="78"/>
        <v>publishing</v>
      </c>
      <c r="R753" t="str">
        <f t="shared" si="79"/>
        <v>nonfiction</v>
      </c>
      <c r="S753" s="9">
        <f t="shared" si="76"/>
        <v>40713.422164351847</v>
      </c>
      <c r="T753" s="9">
        <f t="shared" si="77"/>
        <v>40759.422164351847</v>
      </c>
    </row>
    <row r="754" spans="1:20" ht="43.5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72"/>
        <v>1.117</v>
      </c>
      <c r="P754">
        <f t="shared" si="73"/>
        <v>5292.5</v>
      </c>
      <c r="Q754" t="str">
        <f t="shared" si="78"/>
        <v>publishing</v>
      </c>
      <c r="R754" t="str">
        <f t="shared" si="79"/>
        <v>nonfiction</v>
      </c>
      <c r="S754" s="9">
        <f t="shared" si="76"/>
        <v>42639.213159722225</v>
      </c>
      <c r="T754" s="9">
        <f t="shared" si="77"/>
        <v>42659.249999999993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72"/>
        <v>1.28</v>
      </c>
      <c r="P755">
        <f t="shared" si="73"/>
        <v>11400</v>
      </c>
      <c r="Q755" t="str">
        <f t="shared" si="78"/>
        <v>publishing</v>
      </c>
      <c r="R755" t="str">
        <f t="shared" si="79"/>
        <v>nonfiction</v>
      </c>
      <c r="S755" s="9">
        <f t="shared" si="76"/>
        <v>42019.381840277776</v>
      </c>
      <c r="T755" s="9">
        <f t="shared" si="77"/>
        <v>42049.381840277776</v>
      </c>
    </row>
    <row r="756" spans="1:20" ht="43.5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72"/>
        <v>1.0375000000000001</v>
      </c>
      <c r="P756">
        <f t="shared" si="73"/>
        <v>2037.5</v>
      </c>
      <c r="Q756" t="str">
        <f t="shared" si="78"/>
        <v>publishing</v>
      </c>
      <c r="R756" t="str">
        <f t="shared" si="79"/>
        <v>nonfiction</v>
      </c>
      <c r="S756" s="9">
        <f t="shared" si="76"/>
        <v>41249.54075231481</v>
      </c>
      <c r="T756" s="9">
        <f t="shared" si="77"/>
        <v>41279.54075231481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72"/>
        <v>1.0190760000000001</v>
      </c>
      <c r="P757">
        <f t="shared" si="73"/>
        <v>2523.8450000000003</v>
      </c>
      <c r="Q757" t="str">
        <f t="shared" si="78"/>
        <v>publishing</v>
      </c>
      <c r="R757" t="str">
        <f t="shared" si="79"/>
        <v>nonfiction</v>
      </c>
      <c r="S757" s="9">
        <f t="shared" si="76"/>
        <v>41383.396724537037</v>
      </c>
      <c r="T757" s="9">
        <f t="shared" si="77"/>
        <v>41413.820138888885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72"/>
        <v>1.177142857142857</v>
      </c>
      <c r="P758">
        <f t="shared" si="73"/>
        <v>762</v>
      </c>
      <c r="Q758" t="str">
        <f t="shared" si="78"/>
        <v>publishing</v>
      </c>
      <c r="R758" t="str">
        <f t="shared" si="79"/>
        <v>nonfiction</v>
      </c>
      <c r="S758" s="9">
        <f t="shared" si="76"/>
        <v>40590.558553240735</v>
      </c>
      <c r="T758" s="9">
        <f t="shared" si="77"/>
        <v>40651.516886574071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72"/>
        <v>2.38</v>
      </c>
      <c r="P759">
        <f t="shared" si="73"/>
        <v>422.5</v>
      </c>
      <c r="Q759" t="str">
        <f t="shared" si="78"/>
        <v>publishing</v>
      </c>
      <c r="R759" t="str">
        <f t="shared" si="79"/>
        <v>nonfiction</v>
      </c>
      <c r="S759" s="9">
        <f t="shared" si="76"/>
        <v>41234.846226851849</v>
      </c>
      <c r="T759" s="9">
        <f t="shared" si="77"/>
        <v>41248.846226851849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72"/>
        <v>1.02</v>
      </c>
      <c r="P760">
        <f t="shared" si="73"/>
        <v>2525</v>
      </c>
      <c r="Q760" t="str">
        <f t="shared" si="78"/>
        <v>publishing</v>
      </c>
      <c r="R760" t="str">
        <f t="shared" si="79"/>
        <v>nonfiction</v>
      </c>
      <c r="S760" s="9">
        <f t="shared" si="76"/>
        <v>40429.628101851849</v>
      </c>
      <c r="T760" s="9">
        <f t="shared" si="77"/>
        <v>40459.628101851849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72"/>
        <v>1.0192000000000001</v>
      </c>
      <c r="P761">
        <f t="shared" si="73"/>
        <v>5048</v>
      </c>
      <c r="Q761" t="str">
        <f>IF(N761="publishing/nonfiction","publishing")</f>
        <v>publishing</v>
      </c>
      <c r="R761" t="str">
        <f>IF(N761="publishing/nonfiction","nonfiction")</f>
        <v>nonfiction</v>
      </c>
      <c r="S761" s="9">
        <f t="shared" si="76"/>
        <v>41789.121979166666</v>
      </c>
      <c r="T761" s="9">
        <f t="shared" si="77"/>
        <v>41829.121979166666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72"/>
        <v>0</v>
      </c>
      <c r="P762">
        <f t="shared" si="73"/>
        <v>1100</v>
      </c>
      <c r="Q762" t="str">
        <f>IF(N762="publishing/fiction","publishing")</f>
        <v>publishing</v>
      </c>
      <c r="R762" t="str">
        <f>IF(N762="publishing/fiction","fiction")</f>
        <v>fiction</v>
      </c>
      <c r="S762" s="9">
        <f t="shared" si="76"/>
        <v>42670.555706018517</v>
      </c>
      <c r="T762" s="9">
        <f t="shared" si="77"/>
        <v>42700.597372685188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72"/>
        <v>4.7E-2</v>
      </c>
      <c r="P763">
        <f t="shared" si="73"/>
        <v>2617.5</v>
      </c>
      <c r="Q763" t="str">
        <f>IF(N763="publishing/fiction","publishing")</f>
        <v>publishing</v>
      </c>
      <c r="R763" t="str">
        <f>IF(N763="publishing/fiction","fiction")</f>
        <v>fiction</v>
      </c>
      <c r="S763" s="9">
        <f t="shared" si="76"/>
        <v>41642.543124999997</v>
      </c>
      <c r="T763" s="9">
        <f t="shared" si="77"/>
        <v>41672.543124999997</v>
      </c>
    </row>
    <row r="764" spans="1:20" ht="29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72"/>
        <v>0</v>
      </c>
      <c r="P764">
        <f t="shared" si="73"/>
        <v>1750</v>
      </c>
      <c r="Q764" t="str">
        <f t="shared" ref="Q764:Q780" si="80">IF(N764="publishing/fiction","publishing")</f>
        <v>publishing</v>
      </c>
      <c r="R764" t="str">
        <f t="shared" ref="R764:R780" si="81">IF(N764="publishing/fiction","fiction")</f>
        <v>fiction</v>
      </c>
      <c r="S764" s="9">
        <f t="shared" si="76"/>
        <v>42690.65011574074</v>
      </c>
      <c r="T764" s="9">
        <f t="shared" si="77"/>
        <v>42708.041666666664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72"/>
        <v>1.1655011655011655E-3</v>
      </c>
      <c r="P765">
        <f t="shared" si="73"/>
        <v>2147.5</v>
      </c>
      <c r="Q765" t="str">
        <f t="shared" si="80"/>
        <v>publishing</v>
      </c>
      <c r="R765" t="str">
        <f t="shared" si="81"/>
        <v>fiction</v>
      </c>
      <c r="S765" s="9">
        <f t="shared" si="76"/>
        <v>41471.238518518519</v>
      </c>
      <c r="T765" s="9">
        <f t="shared" si="77"/>
        <v>41501.238518518519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72"/>
        <v>0</v>
      </c>
      <c r="P766">
        <f t="shared" si="73"/>
        <v>2500</v>
      </c>
      <c r="Q766" t="str">
        <f t="shared" si="80"/>
        <v>publishing</v>
      </c>
      <c r="R766" t="str">
        <f t="shared" si="81"/>
        <v>fiction</v>
      </c>
      <c r="S766" s="9">
        <f t="shared" si="76"/>
        <v>42226.964826388888</v>
      </c>
      <c r="T766" s="9">
        <f t="shared" si="77"/>
        <v>42256.964826388888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72"/>
        <v>0.36014285714285715</v>
      </c>
      <c r="P767">
        <f t="shared" si="73"/>
        <v>4760.5</v>
      </c>
      <c r="Q767" t="str">
        <f t="shared" si="80"/>
        <v>publishing</v>
      </c>
      <c r="R767" t="str">
        <f t="shared" si="81"/>
        <v>fiction</v>
      </c>
      <c r="S767" s="9">
        <f t="shared" si="76"/>
        <v>41901.334305555552</v>
      </c>
      <c r="T767" s="9">
        <f t="shared" si="77"/>
        <v>41931.334305555552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72"/>
        <v>0</v>
      </c>
      <c r="P768">
        <f t="shared" si="73"/>
        <v>2000</v>
      </c>
      <c r="Q768" t="str">
        <f t="shared" si="80"/>
        <v>publishing</v>
      </c>
      <c r="R768" t="str">
        <f t="shared" si="81"/>
        <v>fiction</v>
      </c>
      <c r="S768" s="9">
        <f t="shared" si="76"/>
        <v>42021.57503472222</v>
      </c>
      <c r="T768" s="9">
        <f t="shared" si="77"/>
        <v>42051.57503472222</v>
      </c>
    </row>
    <row r="769" spans="1:20" ht="58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72"/>
        <v>3.5400000000000001E-2</v>
      </c>
      <c r="P769">
        <f t="shared" si="73"/>
        <v>2588.5</v>
      </c>
      <c r="Q769" t="str">
        <f t="shared" si="80"/>
        <v>publishing</v>
      </c>
      <c r="R769" t="str">
        <f t="shared" si="81"/>
        <v>fiction</v>
      </c>
      <c r="S769" s="9">
        <f t="shared" si="76"/>
        <v>42114.935300925928</v>
      </c>
      <c r="T769" s="9">
        <f t="shared" si="77"/>
        <v>42144.935300925928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72"/>
        <v>0</v>
      </c>
      <c r="P770">
        <f t="shared" si="73"/>
        <v>1250</v>
      </c>
      <c r="Q770" t="str">
        <f t="shared" si="80"/>
        <v>publishing</v>
      </c>
      <c r="R770" t="str">
        <f t="shared" si="81"/>
        <v>fiction</v>
      </c>
      <c r="S770" s="9">
        <f t="shared" si="76"/>
        <v>41593.998726851853</v>
      </c>
      <c r="T770" s="9">
        <f t="shared" si="77"/>
        <v>41623.998726851853</v>
      </c>
    </row>
    <row r="771" spans="1:20" ht="43.5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82">E771/D771</f>
        <v>0.41399999999999998</v>
      </c>
      <c r="P771">
        <f t="shared" ref="P771:P834" si="83">AVERAGE(D771:E771)</f>
        <v>2828</v>
      </c>
      <c r="Q771" t="str">
        <f t="shared" si="80"/>
        <v>publishing</v>
      </c>
      <c r="R771" t="str">
        <f t="shared" si="81"/>
        <v>fiction</v>
      </c>
      <c r="S771" s="9">
        <f t="shared" ref="S771:S834" si="84">J771/86400+25569+(-5/24)</f>
        <v>41604.788124999999</v>
      </c>
      <c r="T771" s="9">
        <f t="shared" si="77"/>
        <v>41634.788124999999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82"/>
        <v>0</v>
      </c>
      <c r="P772">
        <f t="shared" si="83"/>
        <v>8750</v>
      </c>
      <c r="Q772" t="str">
        <f t="shared" si="80"/>
        <v>publishing</v>
      </c>
      <c r="R772" t="str">
        <f t="shared" si="81"/>
        <v>fiction</v>
      </c>
      <c r="S772" s="9">
        <f t="shared" si="84"/>
        <v>41289.791307870364</v>
      </c>
      <c r="T772" s="9">
        <f t="shared" ref="T772:T835" si="85">I772/86400+25569+(-5/24)</f>
        <v>41329.791307870364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82"/>
        <v>2.631578947368421E-4</v>
      </c>
      <c r="P773">
        <f t="shared" si="83"/>
        <v>19005</v>
      </c>
      <c r="Q773" t="str">
        <f t="shared" si="80"/>
        <v>publishing</v>
      </c>
      <c r="R773" t="str">
        <f t="shared" si="81"/>
        <v>fiction</v>
      </c>
      <c r="S773" s="9">
        <f t="shared" si="84"/>
        <v>42349.615763888891</v>
      </c>
      <c r="T773" s="9">
        <f t="shared" si="85"/>
        <v>42399.615763888891</v>
      </c>
    </row>
    <row r="774" spans="1:20" ht="43.5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82"/>
        <v>3.3333333333333333E-2</v>
      </c>
      <c r="P774">
        <f t="shared" si="83"/>
        <v>775</v>
      </c>
      <c r="Q774" t="str">
        <f t="shared" si="80"/>
        <v>publishing</v>
      </c>
      <c r="R774" t="str">
        <f t="shared" si="81"/>
        <v>fiction</v>
      </c>
      <c r="S774" s="9">
        <f t="shared" si="84"/>
        <v>40067.848599537036</v>
      </c>
      <c r="T774" s="9">
        <f t="shared" si="85"/>
        <v>40117.957638888889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82"/>
        <v>8.5129023676509714E-3</v>
      </c>
      <c r="P775">
        <f t="shared" si="83"/>
        <v>1895.5</v>
      </c>
      <c r="Q775" t="str">
        <f t="shared" si="80"/>
        <v>publishing</v>
      </c>
      <c r="R775" t="str">
        <f t="shared" si="81"/>
        <v>fiction</v>
      </c>
      <c r="S775" s="9">
        <f t="shared" si="84"/>
        <v>42100.527604166666</v>
      </c>
      <c r="T775" s="9">
        <f t="shared" si="85"/>
        <v>42134.750694444439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82"/>
        <v>0.70199999999999996</v>
      </c>
      <c r="P776">
        <f t="shared" si="83"/>
        <v>425.5</v>
      </c>
      <c r="Q776" t="str">
        <f t="shared" si="80"/>
        <v>publishing</v>
      </c>
      <c r="R776" t="str">
        <f t="shared" si="81"/>
        <v>fiction</v>
      </c>
      <c r="S776" s="9">
        <f t="shared" si="84"/>
        <v>41663.571967592587</v>
      </c>
      <c r="T776" s="9">
        <f t="shared" si="85"/>
        <v>41693.571967592587</v>
      </c>
    </row>
    <row r="777" spans="1:20" ht="29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82"/>
        <v>1.7000000000000001E-2</v>
      </c>
      <c r="P777">
        <f t="shared" si="83"/>
        <v>5085</v>
      </c>
      <c r="Q777" t="str">
        <f t="shared" si="80"/>
        <v>publishing</v>
      </c>
      <c r="R777" t="str">
        <f t="shared" si="81"/>
        <v>fiction</v>
      </c>
      <c r="S777" s="9">
        <f t="shared" si="84"/>
        <v>40862.851793981477</v>
      </c>
      <c r="T777" s="9">
        <f t="shared" si="85"/>
        <v>40892.851793981477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82"/>
        <v>0.51400000000000001</v>
      </c>
      <c r="P778">
        <f t="shared" si="83"/>
        <v>5299</v>
      </c>
      <c r="Q778" t="str">
        <f t="shared" si="80"/>
        <v>publishing</v>
      </c>
      <c r="R778" t="str">
        <f t="shared" si="81"/>
        <v>fiction</v>
      </c>
      <c r="S778" s="9">
        <f t="shared" si="84"/>
        <v>42250.477372685178</v>
      </c>
      <c r="T778" s="9">
        <f t="shared" si="85"/>
        <v>42287.999999999993</v>
      </c>
    </row>
    <row r="779" spans="1:20" ht="43.5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82"/>
        <v>7.0000000000000001E-3</v>
      </c>
      <c r="P779">
        <f t="shared" si="83"/>
        <v>1510.5</v>
      </c>
      <c r="Q779" t="str">
        <f t="shared" si="80"/>
        <v>publishing</v>
      </c>
      <c r="R779" t="str">
        <f t="shared" si="81"/>
        <v>fiction</v>
      </c>
      <c r="S779" s="9">
        <f t="shared" si="84"/>
        <v>41456.772881944438</v>
      </c>
      <c r="T779" s="9">
        <f t="shared" si="85"/>
        <v>41486.772881944438</v>
      </c>
    </row>
    <row r="780" spans="1:20" ht="29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82"/>
        <v>4.0000000000000001E-3</v>
      </c>
      <c r="P780">
        <f t="shared" si="83"/>
        <v>251</v>
      </c>
      <c r="Q780" t="str">
        <f t="shared" si="80"/>
        <v>publishing</v>
      </c>
      <c r="R780" t="str">
        <f t="shared" si="81"/>
        <v>fiction</v>
      </c>
      <c r="S780" s="9">
        <f t="shared" si="84"/>
        <v>41729.493981481479</v>
      </c>
      <c r="T780" s="9">
        <f t="shared" si="85"/>
        <v>41759.493981481479</v>
      </c>
    </row>
    <row r="781" spans="1:20" ht="43.5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82"/>
        <v>2.6666666666666668E-2</v>
      </c>
      <c r="P781">
        <f t="shared" si="83"/>
        <v>7700</v>
      </c>
      <c r="Q781" t="str">
        <f>IF(N781="publishing/fiction","publishing")</f>
        <v>publishing</v>
      </c>
      <c r="R781" t="str">
        <f>IF(N781="publishing/fiction","fiction")</f>
        <v>fiction</v>
      </c>
      <c r="S781" s="9">
        <f t="shared" si="84"/>
        <v>40436.475752314815</v>
      </c>
      <c r="T781" s="9">
        <f t="shared" si="85"/>
        <v>40465.958333333328</v>
      </c>
    </row>
    <row r="782" spans="1:20" ht="29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82"/>
        <v>1.04</v>
      </c>
      <c r="P782">
        <f t="shared" si="83"/>
        <v>1020</v>
      </c>
      <c r="Q782" t="str">
        <f>IF(N782="music/rock","music")</f>
        <v>music</v>
      </c>
      <c r="R782" t="str">
        <f>IF(N782="music/rock","rock")</f>
        <v>rock</v>
      </c>
      <c r="S782" s="9">
        <f t="shared" si="84"/>
        <v>40636.465567129628</v>
      </c>
      <c r="T782" s="9">
        <f t="shared" si="85"/>
        <v>40666.465567129628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82"/>
        <v>1.3315375</v>
      </c>
      <c r="P783">
        <f t="shared" si="83"/>
        <v>932.61500000000001</v>
      </c>
      <c r="Q783" t="str">
        <f t="shared" ref="Q783:Q841" si="86">IF(N783="music/rock","music")</f>
        <v>music</v>
      </c>
      <c r="R783" t="str">
        <f t="shared" ref="R783:R841" si="87">IF(N783="music/rock","rock")</f>
        <v>rock</v>
      </c>
      <c r="S783" s="9">
        <f t="shared" si="84"/>
        <v>41402.792523148142</v>
      </c>
      <c r="T783" s="9">
        <f t="shared" si="85"/>
        <v>41432.792523148142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82"/>
        <v>1</v>
      </c>
      <c r="P784">
        <f t="shared" si="83"/>
        <v>700</v>
      </c>
      <c r="Q784" t="str">
        <f t="shared" si="86"/>
        <v>music</v>
      </c>
      <c r="R784" t="str">
        <f t="shared" si="87"/>
        <v>rock</v>
      </c>
      <c r="S784" s="9">
        <f t="shared" si="84"/>
        <v>41116.549791666665</v>
      </c>
      <c r="T784" s="9">
        <f t="shared" si="85"/>
        <v>41146.549791666665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82"/>
        <v>1.4813333333333334</v>
      </c>
      <c r="P785">
        <f t="shared" si="83"/>
        <v>1861</v>
      </c>
      <c r="Q785" t="str">
        <f t="shared" si="86"/>
        <v>music</v>
      </c>
      <c r="R785" t="str">
        <f t="shared" si="87"/>
        <v>rock</v>
      </c>
      <c r="S785" s="9">
        <f t="shared" si="84"/>
        <v>40987.565381944441</v>
      </c>
      <c r="T785" s="9">
        <f t="shared" si="85"/>
        <v>41026.708333333328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82"/>
        <v>1.0249999999999999</v>
      </c>
      <c r="P786">
        <f t="shared" si="83"/>
        <v>1012.5</v>
      </c>
      <c r="Q786" t="str">
        <f t="shared" si="86"/>
        <v>music</v>
      </c>
      <c r="R786" t="str">
        <f t="shared" si="87"/>
        <v>rock</v>
      </c>
      <c r="S786" s="9">
        <f t="shared" si="84"/>
        <v>41674.941192129627</v>
      </c>
      <c r="T786" s="9">
        <f t="shared" si="85"/>
        <v>41714.899525462963</v>
      </c>
    </row>
    <row r="787" spans="1:20" ht="43.5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82"/>
        <v>1.8062799999999999</v>
      </c>
      <c r="P787">
        <f t="shared" si="83"/>
        <v>701.56999999999994</v>
      </c>
      <c r="Q787" t="str">
        <f t="shared" si="86"/>
        <v>music</v>
      </c>
      <c r="R787" t="str">
        <f t="shared" si="87"/>
        <v>rock</v>
      </c>
      <c r="S787" s="9">
        <f t="shared" si="84"/>
        <v>41303.38559027778</v>
      </c>
      <c r="T787" s="9">
        <f t="shared" si="85"/>
        <v>41333.38559027778</v>
      </c>
    </row>
    <row r="788" spans="1:20" ht="29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82"/>
        <v>1.4279999999999999</v>
      </c>
      <c r="P788">
        <f t="shared" si="83"/>
        <v>6070</v>
      </c>
      <c r="Q788" t="str">
        <f t="shared" si="86"/>
        <v>music</v>
      </c>
      <c r="R788" t="str">
        <f t="shared" si="87"/>
        <v>rock</v>
      </c>
      <c r="S788" s="9">
        <f t="shared" si="84"/>
        <v>40982.847615740735</v>
      </c>
      <c r="T788" s="9">
        <f t="shared" si="85"/>
        <v>41040.449305555558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82"/>
        <v>1.1416666666666666</v>
      </c>
      <c r="P789">
        <f t="shared" si="83"/>
        <v>1285</v>
      </c>
      <c r="Q789" t="str">
        <f t="shared" si="86"/>
        <v>music</v>
      </c>
      <c r="R789" t="str">
        <f t="shared" si="87"/>
        <v>rock</v>
      </c>
      <c r="S789" s="9">
        <f t="shared" si="84"/>
        <v>41549.419282407405</v>
      </c>
      <c r="T789" s="9">
        <f t="shared" si="85"/>
        <v>41579.419282407405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82"/>
        <v>2.03505</v>
      </c>
      <c r="P790">
        <f t="shared" si="83"/>
        <v>1517.5250000000001</v>
      </c>
      <c r="Q790" t="str">
        <f t="shared" si="86"/>
        <v>music</v>
      </c>
      <c r="R790" t="str">
        <f t="shared" si="87"/>
        <v>rock</v>
      </c>
      <c r="S790" s="9">
        <f t="shared" si="84"/>
        <v>41058.798472222217</v>
      </c>
      <c r="T790" s="9">
        <f t="shared" si="85"/>
        <v>41096.957638888889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82"/>
        <v>1.0941176470588236</v>
      </c>
      <c r="P791">
        <f t="shared" si="83"/>
        <v>1780</v>
      </c>
      <c r="Q791" t="str">
        <f t="shared" si="86"/>
        <v>music</v>
      </c>
      <c r="R791" t="str">
        <f t="shared" si="87"/>
        <v>rock</v>
      </c>
      <c r="S791" s="9">
        <f t="shared" si="84"/>
        <v>41276.977777777771</v>
      </c>
      <c r="T791" s="9">
        <f t="shared" si="85"/>
        <v>41295.124305555553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82"/>
        <v>1.443746</v>
      </c>
      <c r="P792">
        <f t="shared" si="83"/>
        <v>12218.73</v>
      </c>
      <c r="Q792" t="str">
        <f t="shared" si="86"/>
        <v>music</v>
      </c>
      <c r="R792" t="str">
        <f t="shared" si="87"/>
        <v>rock</v>
      </c>
      <c r="S792" s="9">
        <f t="shared" si="84"/>
        <v>41275.839571759258</v>
      </c>
      <c r="T792" s="9">
        <f t="shared" si="85"/>
        <v>41305.839571759258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82"/>
        <v>1.0386666666666666</v>
      </c>
      <c r="P793">
        <f t="shared" si="83"/>
        <v>7645</v>
      </c>
      <c r="Q793" t="str">
        <f t="shared" si="86"/>
        <v>music</v>
      </c>
      <c r="R793" t="str">
        <f t="shared" si="87"/>
        <v>rock</v>
      </c>
      <c r="S793" s="9">
        <f t="shared" si="84"/>
        <v>41557.572291666664</v>
      </c>
      <c r="T793" s="9">
        <f t="shared" si="85"/>
        <v>41591.040972222218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82"/>
        <v>1.0044440000000001</v>
      </c>
      <c r="P794">
        <f t="shared" si="83"/>
        <v>2505.5550000000003</v>
      </c>
      <c r="Q794" t="str">
        <f t="shared" si="86"/>
        <v>music</v>
      </c>
      <c r="R794" t="str">
        <f t="shared" si="87"/>
        <v>rock</v>
      </c>
      <c r="S794" s="9">
        <f t="shared" si="84"/>
        <v>41555.665312499994</v>
      </c>
      <c r="T794" s="9">
        <f t="shared" si="85"/>
        <v>41585.706979166665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82"/>
        <v>1.0277927272727272</v>
      </c>
      <c r="P795">
        <f t="shared" si="83"/>
        <v>2788.2150000000001</v>
      </c>
      <c r="Q795" t="str">
        <f t="shared" si="86"/>
        <v>music</v>
      </c>
      <c r="R795" t="str">
        <f t="shared" si="87"/>
        <v>rock</v>
      </c>
      <c r="S795" s="9">
        <f t="shared" si="84"/>
        <v>41442.532916666663</v>
      </c>
      <c r="T795" s="9">
        <f t="shared" si="85"/>
        <v>41457.999305555553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82"/>
        <v>1.0531250000000001</v>
      </c>
      <c r="P796">
        <f t="shared" si="83"/>
        <v>8212.5</v>
      </c>
      <c r="Q796" t="str">
        <f t="shared" si="86"/>
        <v>music</v>
      </c>
      <c r="R796" t="str">
        <f t="shared" si="87"/>
        <v>rock</v>
      </c>
      <c r="S796" s="9">
        <f t="shared" si="84"/>
        <v>40735.906678240739</v>
      </c>
      <c r="T796" s="9">
        <f t="shared" si="85"/>
        <v>40791.504166666666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82"/>
        <v>1.1178571428571429</v>
      </c>
      <c r="P797">
        <f t="shared" si="83"/>
        <v>14825</v>
      </c>
      <c r="Q797" t="str">
        <f t="shared" si="86"/>
        <v>music</v>
      </c>
      <c r="R797" t="str">
        <f t="shared" si="87"/>
        <v>rock</v>
      </c>
      <c r="S797" s="9">
        <f t="shared" si="84"/>
        <v>40963.404699074068</v>
      </c>
      <c r="T797" s="9">
        <f t="shared" si="85"/>
        <v>41005.999305555553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82"/>
        <v>1.0135000000000001</v>
      </c>
      <c r="P798">
        <f t="shared" si="83"/>
        <v>10067.5</v>
      </c>
      <c r="Q798" t="str">
        <f t="shared" si="86"/>
        <v>music</v>
      </c>
      <c r="R798" t="str">
        <f t="shared" si="87"/>
        <v>rock</v>
      </c>
      <c r="S798" s="9">
        <f t="shared" si="84"/>
        <v>41502.674594907403</v>
      </c>
      <c r="T798" s="9">
        <f t="shared" si="85"/>
        <v>41532.673611111109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82"/>
        <v>1.0753333333333333</v>
      </c>
      <c r="P799">
        <f t="shared" si="83"/>
        <v>3113</v>
      </c>
      <c r="Q799" t="str">
        <f t="shared" si="86"/>
        <v>music</v>
      </c>
      <c r="R799" t="str">
        <f t="shared" si="87"/>
        <v>rock</v>
      </c>
      <c r="S799" s="9">
        <f t="shared" si="84"/>
        <v>40996.785740740735</v>
      </c>
      <c r="T799" s="9">
        <f t="shared" si="85"/>
        <v>41027.958333333328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82"/>
        <v>1.1488571428571428</v>
      </c>
      <c r="P800">
        <f t="shared" si="83"/>
        <v>3760.5</v>
      </c>
      <c r="Q800" t="str">
        <f t="shared" si="86"/>
        <v>music</v>
      </c>
      <c r="R800" t="str">
        <f t="shared" si="87"/>
        <v>rock</v>
      </c>
      <c r="S800" s="9">
        <f t="shared" si="84"/>
        <v>41882.381793981483</v>
      </c>
      <c r="T800" s="9">
        <f t="shared" si="85"/>
        <v>41912.381793981483</v>
      </c>
    </row>
    <row r="801" spans="1:20" ht="43.5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82"/>
        <v>1.0002</v>
      </c>
      <c r="P801">
        <f t="shared" si="83"/>
        <v>5000.5</v>
      </c>
      <c r="Q801" t="str">
        <f t="shared" si="86"/>
        <v>music</v>
      </c>
      <c r="R801" t="str">
        <f t="shared" si="87"/>
        <v>rock</v>
      </c>
      <c r="S801" s="9">
        <f t="shared" si="84"/>
        <v>40996.458865740737</v>
      </c>
      <c r="T801" s="9">
        <f t="shared" si="85"/>
        <v>41026.458865740737</v>
      </c>
    </row>
    <row r="802" spans="1:20" ht="29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82"/>
        <v>1.5213333333333334</v>
      </c>
      <c r="P802">
        <f t="shared" si="83"/>
        <v>1891</v>
      </c>
      <c r="Q802" t="str">
        <f t="shared" si="86"/>
        <v>music</v>
      </c>
      <c r="R802" t="str">
        <f t="shared" si="87"/>
        <v>rock</v>
      </c>
      <c r="S802" s="9">
        <f t="shared" si="84"/>
        <v>41863.225162037037</v>
      </c>
      <c r="T802" s="9">
        <f t="shared" si="85"/>
        <v>41893.225162037037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82"/>
        <v>1.1152149999999998</v>
      </c>
      <c r="P803">
        <f t="shared" si="83"/>
        <v>2115.2150000000001</v>
      </c>
      <c r="Q803" t="str">
        <f t="shared" si="86"/>
        <v>music</v>
      </c>
      <c r="R803" t="str">
        <f t="shared" si="87"/>
        <v>rock</v>
      </c>
      <c r="S803" s="9">
        <f t="shared" si="84"/>
        <v>40695.587037037032</v>
      </c>
      <c r="T803" s="9">
        <f t="shared" si="85"/>
        <v>40725.587037037032</v>
      </c>
    </row>
    <row r="804" spans="1:20" ht="43.5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82"/>
        <v>1.0133333333333334</v>
      </c>
      <c r="P804">
        <f t="shared" si="83"/>
        <v>6040</v>
      </c>
      <c r="Q804" t="str">
        <f t="shared" si="86"/>
        <v>music</v>
      </c>
      <c r="R804" t="str">
        <f t="shared" si="87"/>
        <v>rock</v>
      </c>
      <c r="S804" s="9">
        <f t="shared" si="84"/>
        <v>41122.813935185179</v>
      </c>
      <c r="T804" s="9">
        <f t="shared" si="85"/>
        <v>41168.961805555555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82"/>
        <v>1.232608695652174</v>
      </c>
      <c r="P805">
        <f t="shared" si="83"/>
        <v>2567.5</v>
      </c>
      <c r="Q805" t="str">
        <f t="shared" si="86"/>
        <v>music</v>
      </c>
      <c r="R805" t="str">
        <f t="shared" si="87"/>
        <v>rock</v>
      </c>
      <c r="S805" s="9">
        <f t="shared" si="84"/>
        <v>40665.741643518515</v>
      </c>
      <c r="T805" s="9">
        <f t="shared" si="85"/>
        <v>40691.833333333328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82"/>
        <v>1</v>
      </c>
      <c r="P806">
        <f t="shared" si="83"/>
        <v>5500</v>
      </c>
      <c r="Q806" t="str">
        <f t="shared" si="86"/>
        <v>music</v>
      </c>
      <c r="R806" t="str">
        <f t="shared" si="87"/>
        <v>rock</v>
      </c>
      <c r="S806" s="9">
        <f t="shared" si="84"/>
        <v>40729.897291666661</v>
      </c>
      <c r="T806" s="9">
        <f t="shared" si="85"/>
        <v>40746.957638888889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82"/>
        <v>1.05</v>
      </c>
      <c r="P807">
        <f t="shared" si="83"/>
        <v>3075</v>
      </c>
      <c r="Q807" t="str">
        <f t="shared" si="86"/>
        <v>music</v>
      </c>
      <c r="R807" t="str">
        <f t="shared" si="87"/>
        <v>rock</v>
      </c>
      <c r="S807" s="9">
        <f t="shared" si="84"/>
        <v>40690.614722222221</v>
      </c>
      <c r="T807" s="9">
        <f t="shared" si="85"/>
        <v>40740.75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82"/>
        <v>1.0443750000000001</v>
      </c>
      <c r="P808">
        <f t="shared" si="83"/>
        <v>8177.5</v>
      </c>
      <c r="Q808" t="str">
        <f t="shared" si="86"/>
        <v>music</v>
      </c>
      <c r="R808" t="str">
        <f t="shared" si="87"/>
        <v>rock</v>
      </c>
      <c r="S808" s="9">
        <f t="shared" si="84"/>
        <v>40763.483090277776</v>
      </c>
      <c r="T808" s="9">
        <f t="shared" si="85"/>
        <v>40793.483090277776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82"/>
        <v>1.05125</v>
      </c>
      <c r="P809">
        <f t="shared" si="83"/>
        <v>4102.5</v>
      </c>
      <c r="Q809" t="str">
        <f t="shared" si="86"/>
        <v>music</v>
      </c>
      <c r="R809" t="str">
        <f t="shared" si="87"/>
        <v>rock</v>
      </c>
      <c r="S809" s="9">
        <f t="shared" si="84"/>
        <v>42759.420266203706</v>
      </c>
      <c r="T809" s="9">
        <f t="shared" si="85"/>
        <v>42794.874999999993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82"/>
        <v>1</v>
      </c>
      <c r="P810">
        <f t="shared" si="83"/>
        <v>4500</v>
      </c>
      <c r="Q810" t="str">
        <f t="shared" si="86"/>
        <v>music</v>
      </c>
      <c r="R810" t="str">
        <f t="shared" si="87"/>
        <v>rock</v>
      </c>
      <c r="S810" s="9">
        <f t="shared" si="84"/>
        <v>41961.892199074071</v>
      </c>
      <c r="T810" s="9">
        <f t="shared" si="85"/>
        <v>41994.999305555553</v>
      </c>
    </row>
    <row r="811" spans="1:20" ht="29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82"/>
        <v>1.03775</v>
      </c>
      <c r="P811">
        <f t="shared" si="83"/>
        <v>4075.5</v>
      </c>
      <c r="Q811" t="str">
        <f t="shared" si="86"/>
        <v>music</v>
      </c>
      <c r="R811" t="str">
        <f t="shared" si="87"/>
        <v>rock</v>
      </c>
      <c r="S811" s="9">
        <f t="shared" si="84"/>
        <v>41628.625347222223</v>
      </c>
      <c r="T811" s="9">
        <f t="shared" si="85"/>
        <v>41658.625347222223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82"/>
        <v>1.05</v>
      </c>
      <c r="P812">
        <f t="shared" si="83"/>
        <v>1537.5</v>
      </c>
      <c r="Q812" t="str">
        <f t="shared" si="86"/>
        <v>music</v>
      </c>
      <c r="R812" t="str">
        <f t="shared" si="87"/>
        <v>rock</v>
      </c>
      <c r="S812" s="9">
        <f t="shared" si="84"/>
        <v>41122.847939814812</v>
      </c>
      <c r="T812" s="9">
        <f t="shared" si="85"/>
        <v>41152.847939814812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82"/>
        <v>1.04</v>
      </c>
      <c r="P813">
        <f t="shared" si="83"/>
        <v>1020</v>
      </c>
      <c r="Q813" t="str">
        <f t="shared" si="86"/>
        <v>music</v>
      </c>
      <c r="R813" t="str">
        <f t="shared" si="87"/>
        <v>rock</v>
      </c>
      <c r="S813" s="9">
        <f t="shared" si="84"/>
        <v>41443.435208333329</v>
      </c>
      <c r="T813" s="9">
        <f t="shared" si="85"/>
        <v>41465.494444444441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82"/>
        <v>1.5183333333333333</v>
      </c>
      <c r="P814">
        <f t="shared" si="83"/>
        <v>755.5</v>
      </c>
      <c r="Q814" t="str">
        <f t="shared" si="86"/>
        <v>music</v>
      </c>
      <c r="R814" t="str">
        <f t="shared" si="87"/>
        <v>rock</v>
      </c>
      <c r="S814" s="9">
        <f t="shared" si="84"/>
        <v>41281.809629629628</v>
      </c>
      <c r="T814" s="9">
        <f t="shared" si="85"/>
        <v>41334.373611111107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82"/>
        <v>1.59996</v>
      </c>
      <c r="P815">
        <f t="shared" si="83"/>
        <v>1949.97</v>
      </c>
      <c r="Q815" t="str">
        <f t="shared" si="86"/>
        <v>music</v>
      </c>
      <c r="R815" t="str">
        <f t="shared" si="87"/>
        <v>rock</v>
      </c>
      <c r="S815" s="9">
        <f t="shared" si="84"/>
        <v>41080.751909722218</v>
      </c>
      <c r="T815" s="9">
        <f t="shared" si="85"/>
        <v>41110.751909722218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82"/>
        <v>1.2729999999999999</v>
      </c>
      <c r="P816">
        <f t="shared" si="83"/>
        <v>1136.5</v>
      </c>
      <c r="Q816" t="str">
        <f t="shared" si="86"/>
        <v>music</v>
      </c>
      <c r="R816" t="str">
        <f t="shared" si="87"/>
        <v>rock</v>
      </c>
      <c r="S816" s="9">
        <f t="shared" si="84"/>
        <v>40679.534733796296</v>
      </c>
      <c r="T816" s="9">
        <f t="shared" si="85"/>
        <v>40694.544444444444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82"/>
        <v>1.07</v>
      </c>
      <c r="P817">
        <f t="shared" si="83"/>
        <v>4140</v>
      </c>
      <c r="Q817" t="str">
        <f t="shared" si="86"/>
        <v>music</v>
      </c>
      <c r="R817" t="str">
        <f t="shared" si="87"/>
        <v>rock</v>
      </c>
      <c r="S817" s="9">
        <f t="shared" si="84"/>
        <v>41914.70952546296</v>
      </c>
      <c r="T817" s="9">
        <f t="shared" si="85"/>
        <v>41944.70952546296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82"/>
        <v>1.1512214285714286</v>
      </c>
      <c r="P818">
        <f t="shared" si="83"/>
        <v>7529.2749999999996</v>
      </c>
      <c r="Q818" t="str">
        <f t="shared" si="86"/>
        <v>music</v>
      </c>
      <c r="R818" t="str">
        <f t="shared" si="87"/>
        <v>rock</v>
      </c>
      <c r="S818" s="9">
        <f t="shared" si="84"/>
        <v>41341.662534722222</v>
      </c>
      <c r="T818" s="9">
        <f t="shared" si="85"/>
        <v>41373.0625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82"/>
        <v>1.3711066666666665</v>
      </c>
      <c r="P819">
        <f t="shared" si="83"/>
        <v>1778.33</v>
      </c>
      <c r="Q819" t="str">
        <f t="shared" si="86"/>
        <v>music</v>
      </c>
      <c r="R819" t="str">
        <f t="shared" si="87"/>
        <v>rock</v>
      </c>
      <c r="S819" s="9">
        <f t="shared" si="84"/>
        <v>40925.391331018516</v>
      </c>
      <c r="T819" s="9">
        <f t="shared" si="85"/>
        <v>40978.999305555553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82"/>
        <v>1.5571428571428572</v>
      </c>
      <c r="P820">
        <f t="shared" si="83"/>
        <v>447.5</v>
      </c>
      <c r="Q820" t="str">
        <f t="shared" si="86"/>
        <v>music</v>
      </c>
      <c r="R820" t="str">
        <f t="shared" si="87"/>
        <v>rock</v>
      </c>
      <c r="S820" s="9">
        <f t="shared" si="84"/>
        <v>41120.67454861111</v>
      </c>
      <c r="T820" s="9">
        <f t="shared" si="85"/>
        <v>41128.500694444439</v>
      </c>
    </row>
    <row r="821" spans="1:20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82"/>
        <v>1.0874999999999999</v>
      </c>
      <c r="P821">
        <f t="shared" si="83"/>
        <v>417.5</v>
      </c>
      <c r="Q821" t="str">
        <f t="shared" si="86"/>
        <v>music</v>
      </c>
      <c r="R821" t="str">
        <f t="shared" si="87"/>
        <v>rock</v>
      </c>
      <c r="S821" s="9">
        <f t="shared" si="84"/>
        <v>41619.789976851847</v>
      </c>
      <c r="T821" s="9">
        <f t="shared" si="85"/>
        <v>41628.988888888889</v>
      </c>
    </row>
    <row r="822" spans="1:20" ht="29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82"/>
        <v>1.3405</v>
      </c>
      <c r="P822">
        <f t="shared" si="83"/>
        <v>2340.5</v>
      </c>
      <c r="Q822" t="str">
        <f t="shared" si="86"/>
        <v>music</v>
      </c>
      <c r="R822" t="str">
        <f t="shared" si="87"/>
        <v>rock</v>
      </c>
      <c r="S822" s="9">
        <f t="shared" si="84"/>
        <v>41768.633587962962</v>
      </c>
      <c r="T822" s="9">
        <f t="shared" si="85"/>
        <v>41799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82"/>
        <v>1</v>
      </c>
      <c r="P823">
        <f t="shared" si="83"/>
        <v>17482</v>
      </c>
      <c r="Q823" t="str">
        <f t="shared" si="86"/>
        <v>music</v>
      </c>
      <c r="R823" t="str">
        <f t="shared" si="87"/>
        <v>rock</v>
      </c>
      <c r="S823" s="9">
        <f t="shared" si="84"/>
        <v>42093.71371527778</v>
      </c>
      <c r="T823" s="9">
        <f t="shared" si="85"/>
        <v>42127.959027777775</v>
      </c>
    </row>
    <row r="824" spans="1:20" ht="29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82"/>
        <v>1.1916666666666667</v>
      </c>
      <c r="P824">
        <f t="shared" si="83"/>
        <v>3287.5</v>
      </c>
      <c r="Q824" t="str">
        <f t="shared" si="86"/>
        <v>music</v>
      </c>
      <c r="R824" t="str">
        <f t="shared" si="87"/>
        <v>rock</v>
      </c>
      <c r="S824" s="9">
        <f t="shared" si="84"/>
        <v>41157.739004629628</v>
      </c>
      <c r="T824" s="9">
        <f t="shared" si="85"/>
        <v>41187.739004629628</v>
      </c>
    </row>
    <row r="825" spans="1:20" ht="29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82"/>
        <v>1.7949999999999999</v>
      </c>
      <c r="P825">
        <f t="shared" si="83"/>
        <v>1118</v>
      </c>
      <c r="Q825" t="str">
        <f t="shared" si="86"/>
        <v>music</v>
      </c>
      <c r="R825" t="str">
        <f t="shared" si="87"/>
        <v>rock</v>
      </c>
      <c r="S825" s="9">
        <f t="shared" si="84"/>
        <v>42055.764490740738</v>
      </c>
      <c r="T825" s="9">
        <f t="shared" si="85"/>
        <v>42085.722824074073</v>
      </c>
    </row>
    <row r="826" spans="1:20" ht="43.5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82"/>
        <v>1.3438124999999999</v>
      </c>
      <c r="P826">
        <f t="shared" si="83"/>
        <v>1875.05</v>
      </c>
      <c r="Q826" t="str">
        <f t="shared" si="86"/>
        <v>music</v>
      </c>
      <c r="R826" t="str">
        <f t="shared" si="87"/>
        <v>rock</v>
      </c>
      <c r="S826" s="9">
        <f t="shared" si="84"/>
        <v>40250.033773148149</v>
      </c>
      <c r="T826" s="9">
        <f t="shared" si="85"/>
        <v>40286.082638888889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82"/>
        <v>1.0043200000000001</v>
      </c>
      <c r="P827">
        <f t="shared" si="83"/>
        <v>12527</v>
      </c>
      <c r="Q827" t="str">
        <f t="shared" si="86"/>
        <v>music</v>
      </c>
      <c r="R827" t="str">
        <f t="shared" si="87"/>
        <v>rock</v>
      </c>
      <c r="S827" s="9">
        <f t="shared" si="84"/>
        <v>41186.098194444443</v>
      </c>
      <c r="T827" s="9">
        <f t="shared" si="85"/>
        <v>41211.098194444443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82"/>
        <v>1.0145454545454546</v>
      </c>
      <c r="P828">
        <f t="shared" si="83"/>
        <v>5540</v>
      </c>
      <c r="Q828" t="str">
        <f t="shared" si="86"/>
        <v>music</v>
      </c>
      <c r="R828" t="str">
        <f t="shared" si="87"/>
        <v>rock</v>
      </c>
      <c r="S828" s="9">
        <f t="shared" si="84"/>
        <v>40972.830208333333</v>
      </c>
      <c r="T828" s="9">
        <f t="shared" si="85"/>
        <v>40993.788541666661</v>
      </c>
    </row>
    <row r="829" spans="1:20" ht="43.5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82"/>
        <v>1.0333333333333334</v>
      </c>
      <c r="P829">
        <f t="shared" si="83"/>
        <v>305</v>
      </c>
      <c r="Q829" t="str">
        <f t="shared" si="86"/>
        <v>music</v>
      </c>
      <c r="R829" t="str">
        <f t="shared" si="87"/>
        <v>rock</v>
      </c>
      <c r="S829" s="9">
        <f t="shared" si="84"/>
        <v>40927.265127314815</v>
      </c>
      <c r="T829" s="9">
        <f t="shared" si="85"/>
        <v>40953.617361111108</v>
      </c>
    </row>
    <row r="830" spans="1:20" ht="43.5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82"/>
        <v>1.07</v>
      </c>
      <c r="P830">
        <f t="shared" si="83"/>
        <v>1345.5</v>
      </c>
      <c r="Q830" t="str">
        <f t="shared" si="86"/>
        <v>music</v>
      </c>
      <c r="R830" t="str">
        <f t="shared" si="87"/>
        <v>rock</v>
      </c>
      <c r="S830" s="9">
        <f t="shared" si="84"/>
        <v>41072.842384259253</v>
      </c>
      <c r="T830" s="9">
        <f t="shared" si="85"/>
        <v>41085.474999999999</v>
      </c>
    </row>
    <row r="831" spans="1:20" ht="43.5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82"/>
        <v>1.04</v>
      </c>
      <c r="P831">
        <f t="shared" si="83"/>
        <v>510</v>
      </c>
      <c r="Q831" t="str">
        <f t="shared" si="86"/>
        <v>music</v>
      </c>
      <c r="R831" t="str">
        <f t="shared" si="87"/>
        <v>rock</v>
      </c>
      <c r="S831" s="9">
        <f t="shared" si="84"/>
        <v>42504.593055555553</v>
      </c>
      <c r="T831" s="9">
        <f t="shared" si="85"/>
        <v>42564.593055555553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82"/>
        <v>1.0783333333333334</v>
      </c>
      <c r="P832">
        <f t="shared" si="83"/>
        <v>1870.5</v>
      </c>
      <c r="Q832" t="str">
        <f t="shared" si="86"/>
        <v>music</v>
      </c>
      <c r="R832" t="str">
        <f t="shared" si="87"/>
        <v>rock</v>
      </c>
      <c r="S832" s="9">
        <f t="shared" si="84"/>
        <v>41325.317418981482</v>
      </c>
      <c r="T832" s="9">
        <f t="shared" si="85"/>
        <v>41355.27575231481</v>
      </c>
    </row>
    <row r="833" spans="1:20" ht="29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82"/>
        <v>2.3333333333333335</v>
      </c>
      <c r="P833">
        <f t="shared" si="83"/>
        <v>2500</v>
      </c>
      <c r="Q833" t="str">
        <f t="shared" si="86"/>
        <v>music</v>
      </c>
      <c r="R833" t="str">
        <f t="shared" si="87"/>
        <v>rock</v>
      </c>
      <c r="S833" s="9">
        <f t="shared" si="84"/>
        <v>40996.438587962963</v>
      </c>
      <c r="T833" s="9">
        <f t="shared" si="85"/>
        <v>41026.438587962963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82"/>
        <v>1.0060706666666666</v>
      </c>
      <c r="P834">
        <f t="shared" si="83"/>
        <v>15045.529999999999</v>
      </c>
      <c r="Q834" t="str">
        <f t="shared" si="86"/>
        <v>music</v>
      </c>
      <c r="R834" t="str">
        <f t="shared" si="87"/>
        <v>rock</v>
      </c>
      <c r="S834" s="9">
        <f t="shared" si="84"/>
        <v>40869.466840277775</v>
      </c>
      <c r="T834" s="9">
        <f t="shared" si="85"/>
        <v>40929.134027777771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88">E835/D835</f>
        <v>1.0166666666666666</v>
      </c>
      <c r="P835">
        <f t="shared" ref="P835:P898" si="89">AVERAGE(D835:E835)</f>
        <v>6050</v>
      </c>
      <c r="Q835" t="str">
        <f t="shared" si="86"/>
        <v>music</v>
      </c>
      <c r="R835" t="str">
        <f t="shared" si="87"/>
        <v>rock</v>
      </c>
      <c r="S835" s="9">
        <f t="shared" ref="S835:S898" si="90">J835/86400+25569+(-5/24)</f>
        <v>41718.669849537036</v>
      </c>
      <c r="T835" s="9">
        <f t="shared" si="85"/>
        <v>41748.669849537036</v>
      </c>
    </row>
    <row r="836" spans="1:20" ht="43.5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88"/>
        <v>1.3101818181818181</v>
      </c>
      <c r="P836">
        <f t="shared" si="89"/>
        <v>6353</v>
      </c>
      <c r="Q836" t="str">
        <f t="shared" si="86"/>
        <v>music</v>
      </c>
      <c r="R836" t="str">
        <f t="shared" si="87"/>
        <v>rock</v>
      </c>
      <c r="S836" s="9">
        <f t="shared" si="90"/>
        <v>41422.614490740736</v>
      </c>
      <c r="T836" s="9">
        <f t="shared" ref="T836:T899" si="91">I836/86400+25569+(-5/24)</f>
        <v>41455.957638888889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88"/>
        <v>1.1725000000000001</v>
      </c>
      <c r="P837">
        <f t="shared" si="89"/>
        <v>2172.5</v>
      </c>
      <c r="Q837" t="str">
        <f t="shared" si="86"/>
        <v>music</v>
      </c>
      <c r="R837" t="str">
        <f t="shared" si="87"/>
        <v>rock</v>
      </c>
      <c r="S837" s="9">
        <f t="shared" si="90"/>
        <v>41005.249513888884</v>
      </c>
      <c r="T837" s="9">
        <f t="shared" si="91"/>
        <v>41047.916666666664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88"/>
        <v>1.009304</v>
      </c>
      <c r="P838">
        <f t="shared" si="89"/>
        <v>5023.26</v>
      </c>
      <c r="Q838" t="str">
        <f t="shared" si="86"/>
        <v>music</v>
      </c>
      <c r="R838" t="str">
        <f t="shared" si="87"/>
        <v>rock</v>
      </c>
      <c r="S838" s="9">
        <f t="shared" si="90"/>
        <v>41523.848587962959</v>
      </c>
      <c r="T838" s="9">
        <f t="shared" si="91"/>
        <v>41553.848587962959</v>
      </c>
    </row>
    <row r="839" spans="1:20" ht="29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88"/>
        <v>1.218</v>
      </c>
      <c r="P839">
        <f t="shared" si="89"/>
        <v>2772.5</v>
      </c>
      <c r="Q839" t="str">
        <f t="shared" si="86"/>
        <v>music</v>
      </c>
      <c r="R839" t="str">
        <f t="shared" si="87"/>
        <v>rock</v>
      </c>
      <c r="S839" s="9">
        <f t="shared" si="90"/>
        <v>41730.79006944444</v>
      </c>
      <c r="T839" s="9">
        <f t="shared" si="91"/>
        <v>41760.79006944444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88"/>
        <v>1.454</v>
      </c>
      <c r="P840">
        <f t="shared" si="89"/>
        <v>2454</v>
      </c>
      <c r="Q840" t="str">
        <f t="shared" si="86"/>
        <v>music</v>
      </c>
      <c r="R840" t="str">
        <f t="shared" si="87"/>
        <v>rock</v>
      </c>
      <c r="S840" s="9">
        <f t="shared" si="90"/>
        <v>40895.689641203702</v>
      </c>
      <c r="T840" s="9">
        <f t="shared" si="91"/>
        <v>40925.689641203702</v>
      </c>
    </row>
    <row r="841" spans="1:20" ht="29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88"/>
        <v>1.166166</v>
      </c>
      <c r="P841">
        <f t="shared" si="89"/>
        <v>5415.415</v>
      </c>
      <c r="Q841" t="str">
        <f t="shared" si="86"/>
        <v>music</v>
      </c>
      <c r="R841" t="str">
        <f t="shared" si="87"/>
        <v>rock</v>
      </c>
      <c r="S841" s="9">
        <f t="shared" si="90"/>
        <v>41144.555046296293</v>
      </c>
      <c r="T841" s="9">
        <f t="shared" si="91"/>
        <v>41174.555046296293</v>
      </c>
    </row>
    <row r="842" spans="1:20" ht="29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88"/>
        <v>1.2041660000000001</v>
      </c>
      <c r="P842">
        <f t="shared" si="89"/>
        <v>11020.83</v>
      </c>
      <c r="Q842" t="str">
        <f>IF(N842="music/metal","music")</f>
        <v>music</v>
      </c>
      <c r="R842" t="str">
        <f>IF(N842="music/metal","metal")</f>
        <v>metal</v>
      </c>
      <c r="S842" s="9">
        <f t="shared" si="90"/>
        <v>42607.018368055556</v>
      </c>
      <c r="T842" s="9">
        <f t="shared" si="91"/>
        <v>42637.018368055556</v>
      </c>
    </row>
    <row r="843" spans="1:20" ht="43.5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88"/>
        <v>1.0132000000000001</v>
      </c>
      <c r="P843">
        <f t="shared" si="89"/>
        <v>5033</v>
      </c>
      <c r="Q843" t="str">
        <f t="shared" ref="Q843:Q861" si="92">IF(N843="music/metal","music")</f>
        <v>music</v>
      </c>
      <c r="R843" t="str">
        <f t="shared" ref="R843:R861" si="93">IF(N843="music/metal","metal")</f>
        <v>metal</v>
      </c>
      <c r="S843" s="9">
        <f t="shared" si="90"/>
        <v>41923.630358796298</v>
      </c>
      <c r="T843" s="9">
        <f t="shared" si="91"/>
        <v>41953.672025462962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88"/>
        <v>1.0431999999999999</v>
      </c>
      <c r="P844">
        <f t="shared" si="89"/>
        <v>2554</v>
      </c>
      <c r="Q844" t="str">
        <f t="shared" si="92"/>
        <v>music</v>
      </c>
      <c r="R844" t="str">
        <f t="shared" si="93"/>
        <v>metal</v>
      </c>
      <c r="S844" s="9">
        <f t="shared" si="90"/>
        <v>41526.384062499994</v>
      </c>
      <c r="T844" s="9">
        <f t="shared" si="91"/>
        <v>41560.957638888889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88"/>
        <v>2.6713333333333331</v>
      </c>
      <c r="P845">
        <f t="shared" si="89"/>
        <v>5507</v>
      </c>
      <c r="Q845" t="str">
        <f t="shared" si="92"/>
        <v>music</v>
      </c>
      <c r="R845" t="str">
        <f t="shared" si="93"/>
        <v>metal</v>
      </c>
      <c r="S845" s="9">
        <f t="shared" si="90"/>
        <v>42695.049537037034</v>
      </c>
      <c r="T845" s="9">
        <f t="shared" si="91"/>
        <v>42712.124999999993</v>
      </c>
    </row>
    <row r="846" spans="1:20" ht="43.5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88"/>
        <v>1.9413333333333334</v>
      </c>
      <c r="P846">
        <f t="shared" si="89"/>
        <v>4412</v>
      </c>
      <c r="Q846" t="str">
        <f t="shared" si="92"/>
        <v>music</v>
      </c>
      <c r="R846" t="str">
        <f t="shared" si="93"/>
        <v>metal</v>
      </c>
      <c r="S846" s="9">
        <f t="shared" si="90"/>
        <v>41905.476296296292</v>
      </c>
      <c r="T846" s="9">
        <f t="shared" si="91"/>
        <v>41943.999305555553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88"/>
        <v>1.203802</v>
      </c>
      <c r="P847">
        <f t="shared" si="89"/>
        <v>5509.5050000000001</v>
      </c>
      <c r="Q847" t="str">
        <f t="shared" si="92"/>
        <v>music</v>
      </c>
      <c r="R847" t="str">
        <f t="shared" si="93"/>
        <v>metal</v>
      </c>
      <c r="S847" s="9">
        <f t="shared" si="90"/>
        <v>42577.997638888883</v>
      </c>
      <c r="T847" s="9">
        <f t="shared" si="91"/>
        <v>42617.957638888889</v>
      </c>
    </row>
    <row r="848" spans="1:20" ht="29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88"/>
        <v>1.2200090909090908</v>
      </c>
      <c r="P848">
        <f t="shared" si="89"/>
        <v>1221.0050000000001</v>
      </c>
      <c r="Q848" t="str">
        <f t="shared" si="92"/>
        <v>music</v>
      </c>
      <c r="R848" t="str">
        <f t="shared" si="93"/>
        <v>metal</v>
      </c>
      <c r="S848" s="9">
        <f t="shared" si="90"/>
        <v>41694.183506944442</v>
      </c>
      <c r="T848" s="9">
        <f t="shared" si="91"/>
        <v>41708.375</v>
      </c>
    </row>
    <row r="849" spans="1:20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88"/>
        <v>1</v>
      </c>
      <c r="P849">
        <f t="shared" si="89"/>
        <v>10</v>
      </c>
      <c r="Q849" t="str">
        <f t="shared" si="92"/>
        <v>music</v>
      </c>
      <c r="R849" t="str">
        <f t="shared" si="93"/>
        <v>metal</v>
      </c>
      <c r="S849" s="9">
        <f t="shared" si="90"/>
        <v>42165.59</v>
      </c>
      <c r="T849" s="9">
        <f t="shared" si="91"/>
        <v>42195.59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88"/>
        <v>1</v>
      </c>
      <c r="P850">
        <f t="shared" si="89"/>
        <v>300</v>
      </c>
      <c r="Q850" t="str">
        <f t="shared" si="92"/>
        <v>music</v>
      </c>
      <c r="R850" t="str">
        <f t="shared" si="93"/>
        <v>metal</v>
      </c>
      <c r="S850" s="9">
        <f t="shared" si="90"/>
        <v>42078.583715277775</v>
      </c>
      <c r="T850" s="9">
        <f t="shared" si="91"/>
        <v>42108.583715277775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88"/>
        <v>1.1990000000000001</v>
      </c>
      <c r="P851">
        <f t="shared" si="89"/>
        <v>4398</v>
      </c>
      <c r="Q851" t="str">
        <f t="shared" si="92"/>
        <v>music</v>
      </c>
      <c r="R851" t="str">
        <f t="shared" si="93"/>
        <v>metal</v>
      </c>
      <c r="S851" s="9">
        <f t="shared" si="90"/>
        <v>42050.94055555555</v>
      </c>
      <c r="T851" s="9">
        <f t="shared" si="91"/>
        <v>42078.898888888885</v>
      </c>
    </row>
    <row r="852" spans="1:20" ht="29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88"/>
        <v>1.55175</v>
      </c>
      <c r="P852">
        <f t="shared" si="89"/>
        <v>5103.5</v>
      </c>
      <c r="Q852" t="str">
        <f t="shared" si="92"/>
        <v>music</v>
      </c>
      <c r="R852" t="str">
        <f t="shared" si="93"/>
        <v>metal</v>
      </c>
      <c r="S852" s="9">
        <f t="shared" si="90"/>
        <v>42452.619409722225</v>
      </c>
      <c r="T852" s="9">
        <f t="shared" si="91"/>
        <v>42484.999305555553</v>
      </c>
    </row>
    <row r="853" spans="1:20" ht="29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88"/>
        <v>1.3045</v>
      </c>
      <c r="P853">
        <f t="shared" si="89"/>
        <v>2304.5</v>
      </c>
      <c r="Q853" t="str">
        <f t="shared" si="92"/>
        <v>music</v>
      </c>
      <c r="R853" t="str">
        <f t="shared" si="93"/>
        <v>metal</v>
      </c>
      <c r="S853" s="9">
        <f t="shared" si="90"/>
        <v>42522.671909722216</v>
      </c>
      <c r="T853" s="9">
        <f t="shared" si="91"/>
        <v>42582.614583333336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88"/>
        <v>1.0497142857142858</v>
      </c>
      <c r="P854">
        <f t="shared" si="89"/>
        <v>3587</v>
      </c>
      <c r="Q854" t="str">
        <f t="shared" si="92"/>
        <v>music</v>
      </c>
      <c r="R854" t="str">
        <f t="shared" si="93"/>
        <v>metal</v>
      </c>
      <c r="S854" s="9">
        <f t="shared" si="90"/>
        <v>42656.59716435185</v>
      </c>
      <c r="T854" s="9">
        <f t="shared" si="91"/>
        <v>42667.666666666664</v>
      </c>
    </row>
    <row r="855" spans="1:20" ht="29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88"/>
        <v>1</v>
      </c>
      <c r="P855">
        <f t="shared" si="89"/>
        <v>300</v>
      </c>
      <c r="Q855" t="str">
        <f t="shared" si="92"/>
        <v>music</v>
      </c>
      <c r="R855" t="str">
        <f t="shared" si="93"/>
        <v>metal</v>
      </c>
      <c r="S855" s="9">
        <f t="shared" si="90"/>
        <v>42021.62394675926</v>
      </c>
      <c r="T855" s="9">
        <f t="shared" si="91"/>
        <v>42051.62394675926</v>
      </c>
    </row>
    <row r="856" spans="1:20" ht="29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88"/>
        <v>1.1822050359712231</v>
      </c>
      <c r="P856">
        <f t="shared" si="89"/>
        <v>30332.65</v>
      </c>
      <c r="Q856" t="str">
        <f t="shared" si="92"/>
        <v>music</v>
      </c>
      <c r="R856" t="str">
        <f t="shared" si="93"/>
        <v>metal</v>
      </c>
      <c r="S856" s="9">
        <f t="shared" si="90"/>
        <v>42702.004004629627</v>
      </c>
      <c r="T856" s="9">
        <f t="shared" si="91"/>
        <v>42732.004004629627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88"/>
        <v>1.0344827586206897</v>
      </c>
      <c r="P857">
        <f t="shared" si="89"/>
        <v>1475</v>
      </c>
      <c r="Q857" t="str">
        <f t="shared" si="92"/>
        <v>music</v>
      </c>
      <c r="R857" t="str">
        <f t="shared" si="93"/>
        <v>metal</v>
      </c>
      <c r="S857" s="9">
        <f t="shared" si="90"/>
        <v>42544.916863425919</v>
      </c>
      <c r="T857" s="9">
        <f t="shared" si="91"/>
        <v>42574.916863425919</v>
      </c>
    </row>
    <row r="858" spans="1:20" ht="43.5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88"/>
        <v>2.1800000000000002</v>
      </c>
      <c r="P858">
        <f t="shared" si="89"/>
        <v>397.5</v>
      </c>
      <c r="Q858" t="str">
        <f t="shared" si="92"/>
        <v>music</v>
      </c>
      <c r="R858" t="str">
        <f t="shared" si="93"/>
        <v>metal</v>
      </c>
      <c r="S858" s="9">
        <f t="shared" si="90"/>
        <v>42609.103657407402</v>
      </c>
      <c r="T858" s="9">
        <f t="shared" si="91"/>
        <v>42668.583333333336</v>
      </c>
    </row>
    <row r="859" spans="1:20" ht="29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88"/>
        <v>1</v>
      </c>
      <c r="P859">
        <f t="shared" si="89"/>
        <v>1200</v>
      </c>
      <c r="Q859" t="str">
        <f t="shared" si="92"/>
        <v>music</v>
      </c>
      <c r="R859" t="str">
        <f t="shared" si="93"/>
        <v>metal</v>
      </c>
      <c r="S859" s="9">
        <f t="shared" si="90"/>
        <v>42291.373043981475</v>
      </c>
      <c r="T859" s="9">
        <f t="shared" si="91"/>
        <v>42333.414710648147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88"/>
        <v>1.4400583333333332</v>
      </c>
      <c r="P860">
        <f t="shared" si="89"/>
        <v>1464.0349999999999</v>
      </c>
      <c r="Q860" t="str">
        <f t="shared" si="92"/>
        <v>music</v>
      </c>
      <c r="R860" t="str">
        <f t="shared" si="93"/>
        <v>metal</v>
      </c>
      <c r="S860" s="9">
        <f t="shared" si="90"/>
        <v>42079.537245370368</v>
      </c>
      <c r="T860" s="9">
        <f t="shared" si="91"/>
        <v>42109.749305555553</v>
      </c>
    </row>
    <row r="861" spans="1:20" ht="29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88"/>
        <v>1.0467500000000001</v>
      </c>
      <c r="P861">
        <f t="shared" si="89"/>
        <v>4093.5</v>
      </c>
      <c r="Q861" t="str">
        <f t="shared" si="92"/>
        <v>music</v>
      </c>
      <c r="R861" t="str">
        <f t="shared" si="93"/>
        <v>metal</v>
      </c>
      <c r="S861" s="9">
        <f t="shared" si="90"/>
        <v>42128.611898148149</v>
      </c>
      <c r="T861" s="9">
        <f t="shared" si="91"/>
        <v>42158.791666666664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88"/>
        <v>0.18142857142857144</v>
      </c>
      <c r="P862">
        <f t="shared" si="89"/>
        <v>8270</v>
      </c>
      <c r="Q862" t="str">
        <f>IF(N862="music/jazz","music")</f>
        <v>music</v>
      </c>
      <c r="R862" t="str">
        <f>IF(N862="music/jazz","jazz")</f>
        <v>jazz</v>
      </c>
      <c r="S862" s="9">
        <f t="shared" si="90"/>
        <v>41570.274456018517</v>
      </c>
      <c r="T862" s="9">
        <f t="shared" si="91"/>
        <v>41600.316122685181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88"/>
        <v>2.2444444444444444E-2</v>
      </c>
      <c r="P863">
        <f t="shared" si="89"/>
        <v>2300.5</v>
      </c>
      <c r="Q863" t="str">
        <f t="shared" ref="Q863:Q881" si="94">IF(N863="music/jazz","music")</f>
        <v>music</v>
      </c>
      <c r="R863" t="str">
        <f t="shared" ref="R863:R881" si="95">IF(N863="music/jazz","jazz")</f>
        <v>jazz</v>
      </c>
      <c r="S863" s="9">
        <f t="shared" si="90"/>
        <v>42599.756990740738</v>
      </c>
      <c r="T863" s="9">
        <f t="shared" si="91"/>
        <v>42629.756990740738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88"/>
        <v>3.3999999999999998E-3</v>
      </c>
      <c r="P864">
        <f t="shared" si="89"/>
        <v>25085</v>
      </c>
      <c r="Q864" t="str">
        <f t="shared" si="94"/>
        <v>music</v>
      </c>
      <c r="R864" t="str">
        <f t="shared" si="95"/>
        <v>jazz</v>
      </c>
      <c r="S864" s="9">
        <f t="shared" si="90"/>
        <v>41559.346620370365</v>
      </c>
      <c r="T864" s="9">
        <f t="shared" si="91"/>
        <v>41589.388287037036</v>
      </c>
    </row>
    <row r="865" spans="1:20" ht="29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88"/>
        <v>4.4999999999999998E-2</v>
      </c>
      <c r="P865">
        <f t="shared" si="89"/>
        <v>1045</v>
      </c>
      <c r="Q865" t="str">
        <f t="shared" si="94"/>
        <v>music</v>
      </c>
      <c r="R865" t="str">
        <f t="shared" si="95"/>
        <v>jazz</v>
      </c>
      <c r="S865" s="9">
        <f t="shared" si="90"/>
        <v>40920.909328703703</v>
      </c>
      <c r="T865" s="9">
        <f t="shared" si="91"/>
        <v>40950.909328703703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88"/>
        <v>0.41538461538461541</v>
      </c>
      <c r="P866">
        <f t="shared" si="89"/>
        <v>4600</v>
      </c>
      <c r="Q866" t="str">
        <f t="shared" si="94"/>
        <v>music</v>
      </c>
      <c r="R866" t="str">
        <f t="shared" si="95"/>
        <v>jazz</v>
      </c>
      <c r="S866" s="9">
        <f t="shared" si="90"/>
        <v>41540.898587962962</v>
      </c>
      <c r="T866" s="9">
        <f t="shared" si="91"/>
        <v>41563.207638888889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88"/>
        <v>2.0454545454545454E-2</v>
      </c>
      <c r="P867">
        <f t="shared" si="89"/>
        <v>1122.5</v>
      </c>
      <c r="Q867" t="str">
        <f t="shared" si="94"/>
        <v>music</v>
      </c>
      <c r="R867" t="str">
        <f t="shared" si="95"/>
        <v>jazz</v>
      </c>
      <c r="S867" s="9">
        <f t="shared" si="90"/>
        <v>41230.564780092587</v>
      </c>
      <c r="T867" s="9">
        <f t="shared" si="91"/>
        <v>41290.564780092587</v>
      </c>
    </row>
    <row r="868" spans="1:20" ht="29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88"/>
        <v>0.18285714285714286</v>
      </c>
      <c r="P868">
        <f t="shared" si="89"/>
        <v>2070</v>
      </c>
      <c r="Q868" t="str">
        <f t="shared" si="94"/>
        <v>music</v>
      </c>
      <c r="R868" t="str">
        <f t="shared" si="95"/>
        <v>jazz</v>
      </c>
      <c r="S868" s="9">
        <f t="shared" si="90"/>
        <v>42025.429606481477</v>
      </c>
      <c r="T868" s="9">
        <f t="shared" si="91"/>
        <v>42063.423611111109</v>
      </c>
    </row>
    <row r="869" spans="1:20" ht="43.5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88"/>
        <v>0.2402</v>
      </c>
      <c r="P869">
        <f t="shared" si="89"/>
        <v>3100.5</v>
      </c>
      <c r="Q869" t="str">
        <f t="shared" si="94"/>
        <v>music</v>
      </c>
      <c r="R869" t="str">
        <f t="shared" si="95"/>
        <v>jazz</v>
      </c>
      <c r="S869" s="9">
        <f t="shared" si="90"/>
        <v>40087.897060185183</v>
      </c>
      <c r="T869" s="9">
        <f t="shared" si="91"/>
        <v>40147.999305555553</v>
      </c>
    </row>
    <row r="870" spans="1:20" ht="43.5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88"/>
        <v>1.1111111111111111E-3</v>
      </c>
      <c r="P870">
        <f t="shared" si="89"/>
        <v>22525</v>
      </c>
      <c r="Q870" t="str">
        <f t="shared" si="94"/>
        <v>music</v>
      </c>
      <c r="R870" t="str">
        <f t="shared" si="95"/>
        <v>jazz</v>
      </c>
      <c r="S870" s="9">
        <f t="shared" si="90"/>
        <v>41615.819421296292</v>
      </c>
      <c r="T870" s="9">
        <f t="shared" si="91"/>
        <v>41645.819421296292</v>
      </c>
    </row>
    <row r="871" spans="1:20" ht="43.5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88"/>
        <v>0.11818181818181818</v>
      </c>
      <c r="P871">
        <f t="shared" si="89"/>
        <v>4920</v>
      </c>
      <c r="Q871" t="str">
        <f t="shared" si="94"/>
        <v>music</v>
      </c>
      <c r="R871" t="str">
        <f t="shared" si="95"/>
        <v>jazz</v>
      </c>
      <c r="S871" s="9">
        <f t="shared" si="90"/>
        <v>41342.637233796289</v>
      </c>
      <c r="T871" s="9">
        <f t="shared" si="91"/>
        <v>41372.595567129625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88"/>
        <v>3.0999999999999999E-3</v>
      </c>
      <c r="P872">
        <f t="shared" si="89"/>
        <v>10031</v>
      </c>
      <c r="Q872" t="str">
        <f t="shared" si="94"/>
        <v>music</v>
      </c>
      <c r="R872" t="str">
        <f t="shared" si="95"/>
        <v>jazz</v>
      </c>
      <c r="S872" s="9">
        <f t="shared" si="90"/>
        <v>41487.813923611109</v>
      </c>
      <c r="T872" s="9">
        <f t="shared" si="91"/>
        <v>41517.813923611109</v>
      </c>
    </row>
    <row r="873" spans="1:20" ht="43.5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88"/>
        <v>5.4166666666666669E-2</v>
      </c>
      <c r="P873">
        <f t="shared" si="89"/>
        <v>3162.5</v>
      </c>
      <c r="Q873" t="str">
        <f t="shared" si="94"/>
        <v>music</v>
      </c>
      <c r="R873" t="str">
        <f t="shared" si="95"/>
        <v>jazz</v>
      </c>
      <c r="S873" s="9">
        <f t="shared" si="90"/>
        <v>41577.352951388886</v>
      </c>
      <c r="T873" s="9">
        <f t="shared" si="91"/>
        <v>41607.394618055558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88"/>
        <v>8.1250000000000003E-3</v>
      </c>
      <c r="P874">
        <f t="shared" si="89"/>
        <v>4032.5</v>
      </c>
      <c r="Q874" t="str">
        <f t="shared" si="94"/>
        <v>music</v>
      </c>
      <c r="R874" t="str">
        <f t="shared" si="95"/>
        <v>jazz</v>
      </c>
      <c r="S874" s="9">
        <f t="shared" si="90"/>
        <v>40567.617210648146</v>
      </c>
      <c r="T874" s="9">
        <f t="shared" si="91"/>
        <v>40612.617210648146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88"/>
        <v>1.2857142857142857E-2</v>
      </c>
      <c r="P875">
        <f t="shared" si="89"/>
        <v>1772.5</v>
      </c>
      <c r="Q875" t="str">
        <f t="shared" si="94"/>
        <v>music</v>
      </c>
      <c r="R875" t="str">
        <f t="shared" si="95"/>
        <v>jazz</v>
      </c>
      <c r="S875" s="9">
        <f t="shared" si="90"/>
        <v>41183.958796296291</v>
      </c>
      <c r="T875" s="9">
        <f t="shared" si="91"/>
        <v>41224.000462962962</v>
      </c>
    </row>
    <row r="876" spans="1:20" ht="43.5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88"/>
        <v>0.24333333333333335</v>
      </c>
      <c r="P876">
        <f t="shared" si="89"/>
        <v>1865</v>
      </c>
      <c r="Q876" t="str">
        <f t="shared" si="94"/>
        <v>music</v>
      </c>
      <c r="R876" t="str">
        <f t="shared" si="95"/>
        <v>jazz</v>
      </c>
      <c r="S876" s="9">
        <f t="shared" si="90"/>
        <v>41368.375393518516</v>
      </c>
      <c r="T876" s="9">
        <f t="shared" si="91"/>
        <v>41398.375393518516</v>
      </c>
    </row>
    <row r="877" spans="1:20" ht="43.5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88"/>
        <v>0</v>
      </c>
      <c r="P877">
        <f t="shared" si="89"/>
        <v>2500</v>
      </c>
      <c r="Q877" t="str">
        <f t="shared" si="94"/>
        <v>music</v>
      </c>
      <c r="R877" t="str">
        <f t="shared" si="95"/>
        <v>jazz</v>
      </c>
      <c r="S877" s="9">
        <f t="shared" si="90"/>
        <v>42248.515405092585</v>
      </c>
      <c r="T877" s="9">
        <f t="shared" si="91"/>
        <v>42268.515405092585</v>
      </c>
    </row>
    <row r="878" spans="1:20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88"/>
        <v>0.40799492385786801</v>
      </c>
      <c r="P878">
        <f t="shared" si="89"/>
        <v>2219</v>
      </c>
      <c r="Q878" t="str">
        <f t="shared" si="94"/>
        <v>music</v>
      </c>
      <c r="R878" t="str">
        <f t="shared" si="95"/>
        <v>jazz</v>
      </c>
      <c r="S878" s="9">
        <f t="shared" si="90"/>
        <v>41276.288506944438</v>
      </c>
      <c r="T878" s="9">
        <f t="shared" si="91"/>
        <v>41309.288506944438</v>
      </c>
    </row>
    <row r="879" spans="1:20" ht="43.5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88"/>
        <v>0.67549999999999999</v>
      </c>
      <c r="P879">
        <f t="shared" si="89"/>
        <v>1675.5</v>
      </c>
      <c r="Q879" t="str">
        <f t="shared" si="94"/>
        <v>music</v>
      </c>
      <c r="R879" t="str">
        <f t="shared" si="95"/>
        <v>jazz</v>
      </c>
      <c r="S879" s="9">
        <f t="shared" si="90"/>
        <v>41597.580555555549</v>
      </c>
      <c r="T879" s="9">
        <f t="shared" si="91"/>
        <v>41627.580555555549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88"/>
        <v>1.2999999999999999E-2</v>
      </c>
      <c r="P880">
        <f t="shared" si="89"/>
        <v>2532.5</v>
      </c>
      <c r="Q880" t="str">
        <f t="shared" si="94"/>
        <v>music</v>
      </c>
      <c r="R880" t="str">
        <f t="shared" si="95"/>
        <v>jazz</v>
      </c>
      <c r="S880" s="9">
        <f t="shared" si="90"/>
        <v>40505.024583333332</v>
      </c>
      <c r="T880" s="9">
        <f t="shared" si="91"/>
        <v>40535.024583333332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88"/>
        <v>0.30666666666666664</v>
      </c>
      <c r="P881">
        <f t="shared" si="89"/>
        <v>1372</v>
      </c>
      <c r="Q881" t="str">
        <f t="shared" si="94"/>
        <v>music</v>
      </c>
      <c r="R881" t="str">
        <f t="shared" si="95"/>
        <v>jazz</v>
      </c>
      <c r="S881" s="9">
        <f t="shared" si="90"/>
        <v>41037.621585648143</v>
      </c>
      <c r="T881" s="9">
        <f t="shared" si="91"/>
        <v>41058.621585648143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88"/>
        <v>2.9894179894179893E-2</v>
      </c>
      <c r="P882">
        <f t="shared" si="89"/>
        <v>1946.5</v>
      </c>
      <c r="Q882" t="str">
        <f>IF(N882="music/indie rock","music")</f>
        <v>music</v>
      </c>
      <c r="R882" t="str">
        <f>IF(N882="music/indie rock","indie rock")</f>
        <v>indie rock</v>
      </c>
      <c r="S882" s="9">
        <f t="shared" si="90"/>
        <v>41179.112708333334</v>
      </c>
      <c r="T882" s="9">
        <f t="shared" si="91"/>
        <v>41212.112708333334</v>
      </c>
    </row>
    <row r="883" spans="1:20" ht="29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88"/>
        <v>8.0000000000000002E-3</v>
      </c>
      <c r="P883">
        <f t="shared" si="89"/>
        <v>1890</v>
      </c>
      <c r="Q883" t="str">
        <f t="shared" ref="Q883:Q901" si="96">IF(N883="music/indie rock","music")</f>
        <v>music</v>
      </c>
      <c r="R883" t="str">
        <f t="shared" ref="R883:R901" si="97">IF(N883="music/indie rock","indie rock")</f>
        <v>indie rock</v>
      </c>
      <c r="S883" s="9">
        <f t="shared" si="90"/>
        <v>40877.042662037034</v>
      </c>
      <c r="T883" s="9">
        <f t="shared" si="91"/>
        <v>40922.042662037034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88"/>
        <v>0.20133333333333334</v>
      </c>
      <c r="P884">
        <f t="shared" si="89"/>
        <v>901</v>
      </c>
      <c r="Q884" t="str">
        <f t="shared" si="96"/>
        <v>music</v>
      </c>
      <c r="R884" t="str">
        <f t="shared" si="97"/>
        <v>indie rock</v>
      </c>
      <c r="S884" s="9">
        <f t="shared" si="90"/>
        <v>40759.652199074073</v>
      </c>
      <c r="T884" s="9">
        <f t="shared" si="91"/>
        <v>40792.652199074073</v>
      </c>
    </row>
    <row r="885" spans="1:20" ht="43.5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88"/>
        <v>0.4002</v>
      </c>
      <c r="P885">
        <f t="shared" si="89"/>
        <v>3500.5</v>
      </c>
      <c r="Q885" t="str">
        <f t="shared" si="96"/>
        <v>music</v>
      </c>
      <c r="R885" t="str">
        <f t="shared" si="97"/>
        <v>indie rock</v>
      </c>
      <c r="S885" s="9">
        <f t="shared" si="90"/>
        <v>42371.727256944439</v>
      </c>
      <c r="T885" s="9">
        <f t="shared" si="91"/>
        <v>42431.727256944439</v>
      </c>
    </row>
    <row r="886" spans="1:20" ht="29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88"/>
        <v>0.01</v>
      </c>
      <c r="P886">
        <f t="shared" si="89"/>
        <v>1010</v>
      </c>
      <c r="Q886" t="str">
        <f t="shared" si="96"/>
        <v>music</v>
      </c>
      <c r="R886" t="str">
        <f t="shared" si="97"/>
        <v>indie rock</v>
      </c>
      <c r="S886" s="9">
        <f t="shared" si="90"/>
        <v>40981.594282407408</v>
      </c>
      <c r="T886" s="9">
        <f t="shared" si="91"/>
        <v>41040.896527777775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88"/>
        <v>0.75</v>
      </c>
      <c r="P887">
        <f t="shared" si="89"/>
        <v>875</v>
      </c>
      <c r="Q887" t="str">
        <f t="shared" si="96"/>
        <v>music</v>
      </c>
      <c r="R887" t="str">
        <f t="shared" si="97"/>
        <v>indie rock</v>
      </c>
      <c r="S887" s="9">
        <f t="shared" si="90"/>
        <v>42713.732766203706</v>
      </c>
      <c r="T887" s="9">
        <f t="shared" si="91"/>
        <v>42734.732766203706</v>
      </c>
    </row>
    <row r="888" spans="1:20" ht="43.5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88"/>
        <v>0.41</v>
      </c>
      <c r="P888">
        <f t="shared" si="89"/>
        <v>352.5</v>
      </c>
      <c r="Q888" t="str">
        <f t="shared" si="96"/>
        <v>music</v>
      </c>
      <c r="R888" t="str">
        <f t="shared" si="97"/>
        <v>indie rock</v>
      </c>
      <c r="S888" s="9">
        <f t="shared" si="90"/>
        <v>42603.662187499998</v>
      </c>
      <c r="T888" s="9">
        <f t="shared" si="91"/>
        <v>42628.662187499998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88"/>
        <v>0</v>
      </c>
      <c r="P889">
        <f t="shared" si="89"/>
        <v>500</v>
      </c>
      <c r="Q889" t="str">
        <f t="shared" si="96"/>
        <v>music</v>
      </c>
      <c r="R889" t="str">
        <f t="shared" si="97"/>
        <v>indie rock</v>
      </c>
      <c r="S889" s="9">
        <f t="shared" si="90"/>
        <v>41026.75063657407</v>
      </c>
      <c r="T889" s="9">
        <f t="shared" si="91"/>
        <v>41056.75063657407</v>
      </c>
    </row>
    <row r="890" spans="1:20" ht="43.5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88"/>
        <v>7.1999999999999995E-2</v>
      </c>
      <c r="P890">
        <f t="shared" si="89"/>
        <v>536</v>
      </c>
      <c r="Q890" t="str">
        <f t="shared" si="96"/>
        <v>music</v>
      </c>
      <c r="R890" t="str">
        <f t="shared" si="97"/>
        <v>indie rock</v>
      </c>
      <c r="S890" s="9">
        <f t="shared" si="90"/>
        <v>40751.544965277775</v>
      </c>
      <c r="T890" s="9">
        <f t="shared" si="91"/>
        <v>40787.041666666664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88"/>
        <v>9.4412800000000005E-2</v>
      </c>
      <c r="P891">
        <f t="shared" si="89"/>
        <v>13680.16</v>
      </c>
      <c r="Q891" t="str">
        <f t="shared" si="96"/>
        <v>music</v>
      </c>
      <c r="R891" t="str">
        <f t="shared" si="97"/>
        <v>indie rock</v>
      </c>
      <c r="S891" s="9">
        <f t="shared" si="90"/>
        <v>41887.575729166667</v>
      </c>
      <c r="T891" s="9">
        <f t="shared" si="91"/>
        <v>41917.575729166667</v>
      </c>
    </row>
    <row r="892" spans="1:20" ht="43.5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88"/>
        <v>4.1666666666666664E-2</v>
      </c>
      <c r="P892">
        <f t="shared" si="89"/>
        <v>1562.5</v>
      </c>
      <c r="Q892" t="str">
        <f t="shared" si="96"/>
        <v>music</v>
      </c>
      <c r="R892" t="str">
        <f t="shared" si="97"/>
        <v>indie rock</v>
      </c>
      <c r="S892" s="9">
        <f t="shared" si="90"/>
        <v>41569.490497685183</v>
      </c>
      <c r="T892" s="9">
        <f t="shared" si="91"/>
        <v>41599.532164351847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88"/>
        <v>3.2500000000000001E-2</v>
      </c>
      <c r="P893">
        <f t="shared" si="89"/>
        <v>4130</v>
      </c>
      <c r="Q893" t="str">
        <f t="shared" si="96"/>
        <v>music</v>
      </c>
      <c r="R893" t="str">
        <f t="shared" si="97"/>
        <v>indie rock</v>
      </c>
      <c r="S893" s="9">
        <f t="shared" si="90"/>
        <v>41841.823263888888</v>
      </c>
      <c r="T893" s="9">
        <f t="shared" si="91"/>
        <v>41871.823263888888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88"/>
        <v>0.40749999999999997</v>
      </c>
      <c r="P894">
        <f t="shared" si="89"/>
        <v>4222.5</v>
      </c>
      <c r="Q894" t="str">
        <f t="shared" si="96"/>
        <v>music</v>
      </c>
      <c r="R894" t="str">
        <f t="shared" si="97"/>
        <v>indie rock</v>
      </c>
      <c r="S894" s="9">
        <f t="shared" si="90"/>
        <v>40303.991701388884</v>
      </c>
      <c r="T894" s="9">
        <f t="shared" si="91"/>
        <v>40390.958333333328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88"/>
        <v>0.1</v>
      </c>
      <c r="P895">
        <f t="shared" si="89"/>
        <v>1100</v>
      </c>
      <c r="Q895" t="str">
        <f t="shared" si="96"/>
        <v>music</v>
      </c>
      <c r="R895" t="str">
        <f t="shared" si="97"/>
        <v>indie rock</v>
      </c>
      <c r="S895" s="9">
        <f t="shared" si="90"/>
        <v>42065.689386574071</v>
      </c>
      <c r="T895" s="9">
        <f t="shared" si="91"/>
        <v>42095.647719907407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88"/>
        <v>0.39169999999999999</v>
      </c>
      <c r="P896">
        <f t="shared" si="89"/>
        <v>13917</v>
      </c>
      <c r="Q896" t="str">
        <f t="shared" si="96"/>
        <v>music</v>
      </c>
      <c r="R896" t="str">
        <f t="shared" si="97"/>
        <v>indie rock</v>
      </c>
      <c r="S896" s="9">
        <f t="shared" si="90"/>
        <v>42496.773263888885</v>
      </c>
      <c r="T896" s="9">
        <f t="shared" si="91"/>
        <v>42526.773263888885</v>
      </c>
    </row>
    <row r="897" spans="1:20" ht="43.5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88"/>
        <v>2.4375000000000001E-2</v>
      </c>
      <c r="P897">
        <f t="shared" si="89"/>
        <v>4097.5</v>
      </c>
      <c r="Q897" t="str">
        <f t="shared" si="96"/>
        <v>music</v>
      </c>
      <c r="R897" t="str">
        <f t="shared" si="97"/>
        <v>indie rock</v>
      </c>
      <c r="S897" s="9">
        <f t="shared" si="90"/>
        <v>40430.919317129628</v>
      </c>
      <c r="T897" s="9">
        <f t="shared" si="91"/>
        <v>40475.919317129628</v>
      </c>
    </row>
    <row r="898" spans="1:20" ht="43.5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88"/>
        <v>0.4</v>
      </c>
      <c r="P898">
        <f t="shared" si="89"/>
        <v>5600</v>
      </c>
      <c r="Q898" t="str">
        <f t="shared" si="96"/>
        <v>music</v>
      </c>
      <c r="R898" t="str">
        <f t="shared" si="97"/>
        <v>indie rock</v>
      </c>
      <c r="S898" s="9">
        <f t="shared" si="90"/>
        <v>42218.66465277777</v>
      </c>
      <c r="T898" s="9">
        <f t="shared" si="91"/>
        <v>42243.958333333336</v>
      </c>
    </row>
    <row r="899" spans="1:20" ht="43.5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98">E899/D899</f>
        <v>0</v>
      </c>
      <c r="P899">
        <f t="shared" ref="P899:P962" si="99">AVERAGE(D899:E899)</f>
        <v>1500</v>
      </c>
      <c r="Q899" t="str">
        <f t="shared" si="96"/>
        <v>music</v>
      </c>
      <c r="R899" t="str">
        <f t="shared" si="97"/>
        <v>indie rock</v>
      </c>
      <c r="S899" s="9">
        <f t="shared" ref="S899:S962" si="100">J899/86400+25569+(-5/24)</f>
        <v>41211.480416666665</v>
      </c>
      <c r="T899" s="9">
        <f t="shared" si="91"/>
        <v>41241.52208333333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98"/>
        <v>2.8000000000000001E-2</v>
      </c>
      <c r="P900">
        <f t="shared" si="99"/>
        <v>1285</v>
      </c>
      <c r="Q900" t="str">
        <f t="shared" si="96"/>
        <v>music</v>
      </c>
      <c r="R900" t="str">
        <f t="shared" si="97"/>
        <v>indie rock</v>
      </c>
      <c r="S900" s="9">
        <f t="shared" si="100"/>
        <v>40878.549884259257</v>
      </c>
      <c r="T900" s="9">
        <f t="shared" ref="T900:T963" si="101">I900/86400+25569+(-5/24)</f>
        <v>40923.549884259257</v>
      </c>
    </row>
    <row r="901" spans="1:20" ht="29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98"/>
        <v>0.37333333333333335</v>
      </c>
      <c r="P901">
        <f t="shared" si="99"/>
        <v>515</v>
      </c>
      <c r="Q901" t="str">
        <f t="shared" si="96"/>
        <v>music</v>
      </c>
      <c r="R901" t="str">
        <f t="shared" si="97"/>
        <v>indie rock</v>
      </c>
      <c r="S901" s="9">
        <f t="shared" si="100"/>
        <v>40645.890763888885</v>
      </c>
      <c r="T901" s="9">
        <f t="shared" si="101"/>
        <v>40690.890763888885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98"/>
        <v>4.1999999999999997E-3</v>
      </c>
      <c r="P902">
        <f t="shared" si="99"/>
        <v>2510.5</v>
      </c>
      <c r="Q902" t="str">
        <f>IF(N902="music/jazz","music")</f>
        <v>music</v>
      </c>
      <c r="R902" t="str">
        <f>IF(N902="music/jazz","jazz")</f>
        <v>jazz</v>
      </c>
      <c r="S902" s="9">
        <f t="shared" si="100"/>
        <v>42429.641226851854</v>
      </c>
      <c r="T902" s="9">
        <f t="shared" si="101"/>
        <v>42459.599560185183</v>
      </c>
    </row>
    <row r="903" spans="1:20" ht="43.5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98"/>
        <v>0</v>
      </c>
      <c r="P903">
        <f t="shared" si="99"/>
        <v>3250</v>
      </c>
      <c r="Q903" t="str">
        <f>IF(N903="music/jazz","music")</f>
        <v>music</v>
      </c>
      <c r="R903" t="str">
        <f>IF(N903="music/jazz","jazz")</f>
        <v>jazz</v>
      </c>
      <c r="S903" s="9">
        <f t="shared" si="100"/>
        <v>40291.603171296294</v>
      </c>
      <c r="T903" s="9">
        <f t="shared" si="101"/>
        <v>40337.59097222222</v>
      </c>
    </row>
    <row r="904" spans="1:20" ht="43.5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98"/>
        <v>3.0000000000000001E-3</v>
      </c>
      <c r="P904">
        <f t="shared" si="99"/>
        <v>15045</v>
      </c>
      <c r="Q904" t="str">
        <f t="shared" ref="Q904:Q941" si="102">IF(N904="music/jazz","music")</f>
        <v>music</v>
      </c>
      <c r="R904" t="str">
        <f t="shared" ref="R904:R941" si="103">IF(N904="music/jazz","jazz")</f>
        <v>jazz</v>
      </c>
      <c r="S904" s="9">
        <f t="shared" si="100"/>
        <v>41829.757199074069</v>
      </c>
      <c r="T904" s="9">
        <f t="shared" si="101"/>
        <v>41881.4375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98"/>
        <v>3.2000000000000001E-2</v>
      </c>
      <c r="P905">
        <f t="shared" si="99"/>
        <v>2580</v>
      </c>
      <c r="Q905" t="str">
        <f t="shared" si="102"/>
        <v>music</v>
      </c>
      <c r="R905" t="str">
        <f t="shared" si="103"/>
        <v>jazz</v>
      </c>
      <c r="S905" s="9">
        <f t="shared" si="100"/>
        <v>41149.587731481479</v>
      </c>
      <c r="T905" s="9">
        <f t="shared" si="101"/>
        <v>41174.892361111109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98"/>
        <v>3.0200000000000001E-3</v>
      </c>
      <c r="P906">
        <f t="shared" si="99"/>
        <v>25075.5</v>
      </c>
      <c r="Q906" t="str">
        <f t="shared" si="102"/>
        <v>music</v>
      </c>
      <c r="R906" t="str">
        <f t="shared" si="103"/>
        <v>jazz</v>
      </c>
      <c r="S906" s="9">
        <f t="shared" si="100"/>
        <v>42341.87195601852</v>
      </c>
      <c r="T906" s="9">
        <f t="shared" si="101"/>
        <v>42371.87195601852</v>
      </c>
    </row>
    <row r="907" spans="1:20" ht="29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98"/>
        <v>3.0153846153846153E-2</v>
      </c>
      <c r="P907">
        <f t="shared" si="99"/>
        <v>3348</v>
      </c>
      <c r="Q907" t="str">
        <f t="shared" si="102"/>
        <v>music</v>
      </c>
      <c r="R907" t="str">
        <f t="shared" si="103"/>
        <v>jazz</v>
      </c>
      <c r="S907" s="9">
        <f t="shared" si="100"/>
        <v>40507.031550925924</v>
      </c>
      <c r="T907" s="9">
        <f t="shared" si="101"/>
        <v>40567.031550925924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98"/>
        <v>0</v>
      </c>
      <c r="P908">
        <f t="shared" si="99"/>
        <v>7500</v>
      </c>
      <c r="Q908" t="str">
        <f t="shared" si="102"/>
        <v>music</v>
      </c>
      <c r="R908" t="str">
        <f t="shared" si="103"/>
        <v>jazz</v>
      </c>
      <c r="S908" s="9">
        <f t="shared" si="100"/>
        <v>41680.981365740736</v>
      </c>
      <c r="T908" s="9">
        <f t="shared" si="101"/>
        <v>41710.939699074072</v>
      </c>
    </row>
    <row r="909" spans="1:20" ht="29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98"/>
        <v>0</v>
      </c>
      <c r="P909">
        <f t="shared" si="99"/>
        <v>1450</v>
      </c>
      <c r="Q909" t="str">
        <f t="shared" si="102"/>
        <v>music</v>
      </c>
      <c r="R909" t="str">
        <f t="shared" si="103"/>
        <v>jazz</v>
      </c>
      <c r="S909" s="9">
        <f t="shared" si="100"/>
        <v>40766.9840625</v>
      </c>
      <c r="T909" s="9">
        <f t="shared" si="101"/>
        <v>40796.9840625</v>
      </c>
    </row>
    <row r="910" spans="1:20" ht="29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98"/>
        <v>0</v>
      </c>
      <c r="P910">
        <f t="shared" si="99"/>
        <v>1250</v>
      </c>
      <c r="Q910" t="str">
        <f t="shared" si="102"/>
        <v>music</v>
      </c>
      <c r="R910" t="str">
        <f t="shared" si="103"/>
        <v>jazz</v>
      </c>
      <c r="S910" s="9">
        <f t="shared" si="100"/>
        <v>40340.593229166661</v>
      </c>
      <c r="T910" s="9">
        <f t="shared" si="101"/>
        <v>40385.999305555553</v>
      </c>
    </row>
    <row r="911" spans="1:20" ht="43.5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98"/>
        <v>3.2500000000000001E-2</v>
      </c>
      <c r="P911">
        <f t="shared" si="99"/>
        <v>8260</v>
      </c>
      <c r="Q911" t="str">
        <f t="shared" si="102"/>
        <v>music</v>
      </c>
      <c r="R911" t="str">
        <f t="shared" si="103"/>
        <v>jazz</v>
      </c>
      <c r="S911" s="9">
        <f t="shared" si="100"/>
        <v>41081.481944444444</v>
      </c>
      <c r="T911" s="9">
        <f t="shared" si="101"/>
        <v>41112.958333333328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98"/>
        <v>0.22363636363636363</v>
      </c>
      <c r="P912">
        <f t="shared" si="99"/>
        <v>336.5</v>
      </c>
      <c r="Q912" t="str">
        <f t="shared" si="102"/>
        <v>music</v>
      </c>
      <c r="R912" t="str">
        <f t="shared" si="103"/>
        <v>jazz</v>
      </c>
      <c r="S912" s="9">
        <f t="shared" si="100"/>
        <v>42737.337025462963</v>
      </c>
      <c r="T912" s="9">
        <f t="shared" si="101"/>
        <v>42797.337025462963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98"/>
        <v>0</v>
      </c>
      <c r="P913">
        <f t="shared" si="99"/>
        <v>50000</v>
      </c>
      <c r="Q913" t="str">
        <f t="shared" si="102"/>
        <v>music</v>
      </c>
      <c r="R913" t="str">
        <f t="shared" si="103"/>
        <v>jazz</v>
      </c>
      <c r="S913" s="9">
        <f t="shared" si="100"/>
        <v>41641.796817129631</v>
      </c>
      <c r="T913" s="9">
        <f t="shared" si="101"/>
        <v>41662.796817129631</v>
      </c>
    </row>
    <row r="914" spans="1:20" ht="29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98"/>
        <v>8.5714285714285719E-3</v>
      </c>
      <c r="P914">
        <f t="shared" si="99"/>
        <v>1765</v>
      </c>
      <c r="Q914" t="str">
        <f t="shared" si="102"/>
        <v>music</v>
      </c>
      <c r="R914" t="str">
        <f t="shared" si="103"/>
        <v>jazz</v>
      </c>
      <c r="S914" s="9">
        <f t="shared" si="100"/>
        <v>41193.901006944441</v>
      </c>
      <c r="T914" s="9">
        <f t="shared" si="101"/>
        <v>41253.942673611113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98"/>
        <v>6.6066666666666662E-2</v>
      </c>
      <c r="P915">
        <f t="shared" si="99"/>
        <v>15991</v>
      </c>
      <c r="Q915" t="str">
        <f t="shared" si="102"/>
        <v>music</v>
      </c>
      <c r="R915" t="str">
        <f t="shared" si="103"/>
        <v>jazz</v>
      </c>
      <c r="S915" s="9">
        <f t="shared" si="100"/>
        <v>41003.930775462963</v>
      </c>
      <c r="T915" s="9">
        <f t="shared" si="101"/>
        <v>41033.930775462963</v>
      </c>
    </row>
    <row r="916" spans="1:20" ht="29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98"/>
        <v>0</v>
      </c>
      <c r="P916">
        <f t="shared" si="99"/>
        <v>750</v>
      </c>
      <c r="Q916" t="str">
        <f t="shared" si="102"/>
        <v>music</v>
      </c>
      <c r="R916" t="str">
        <f t="shared" si="103"/>
        <v>jazz</v>
      </c>
      <c r="S916" s="9">
        <f t="shared" si="100"/>
        <v>41116.554942129624</v>
      </c>
      <c r="T916" s="9">
        <f t="shared" si="101"/>
        <v>41146.554942129624</v>
      </c>
    </row>
    <row r="917" spans="1:20" ht="29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98"/>
        <v>5.7692307692307696E-2</v>
      </c>
      <c r="P917">
        <f t="shared" si="99"/>
        <v>3437.5</v>
      </c>
      <c r="Q917" t="str">
        <f t="shared" si="102"/>
        <v>music</v>
      </c>
      <c r="R917" t="str">
        <f t="shared" si="103"/>
        <v>jazz</v>
      </c>
      <c r="S917" s="9">
        <f t="shared" si="100"/>
        <v>40937.471226851849</v>
      </c>
      <c r="T917" s="9">
        <f t="shared" si="101"/>
        <v>40968.999305555553</v>
      </c>
    </row>
    <row r="918" spans="1:20" ht="29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98"/>
        <v>0</v>
      </c>
      <c r="P918">
        <f t="shared" si="99"/>
        <v>1650</v>
      </c>
      <c r="Q918" t="str">
        <f t="shared" si="102"/>
        <v>music</v>
      </c>
      <c r="R918" t="str">
        <f t="shared" si="103"/>
        <v>jazz</v>
      </c>
      <c r="S918" s="9">
        <f t="shared" si="100"/>
        <v>40434.645069444443</v>
      </c>
      <c r="T918" s="9">
        <f t="shared" si="101"/>
        <v>40473</v>
      </c>
    </row>
    <row r="919" spans="1:20" ht="43.5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98"/>
        <v>6.0000000000000001E-3</v>
      </c>
      <c r="P919">
        <f t="shared" si="99"/>
        <v>2515</v>
      </c>
      <c r="Q919" t="str">
        <f t="shared" si="102"/>
        <v>music</v>
      </c>
      <c r="R919" t="str">
        <f t="shared" si="103"/>
        <v>jazz</v>
      </c>
      <c r="S919" s="9">
        <f t="shared" si="100"/>
        <v>41802.735300925924</v>
      </c>
      <c r="T919" s="9">
        <f t="shared" si="101"/>
        <v>41833.895833333328</v>
      </c>
    </row>
    <row r="920" spans="1:20" ht="43.5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98"/>
        <v>5.0256410256410255E-2</v>
      </c>
      <c r="P920">
        <f t="shared" si="99"/>
        <v>2048</v>
      </c>
      <c r="Q920" t="str">
        <f t="shared" si="102"/>
        <v>music</v>
      </c>
      <c r="R920" t="str">
        <f t="shared" si="103"/>
        <v>jazz</v>
      </c>
      <c r="S920" s="9">
        <f t="shared" si="100"/>
        <v>41944.707881944443</v>
      </c>
      <c r="T920" s="9">
        <f t="shared" si="101"/>
        <v>41974.749548611107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98"/>
        <v>5.0000000000000001E-3</v>
      </c>
      <c r="P921">
        <f t="shared" si="99"/>
        <v>10050</v>
      </c>
      <c r="Q921" t="str">
        <f t="shared" si="102"/>
        <v>music</v>
      </c>
      <c r="R921" t="str">
        <f t="shared" si="103"/>
        <v>jazz</v>
      </c>
      <c r="S921" s="9">
        <f t="shared" si="100"/>
        <v>41227.433391203704</v>
      </c>
      <c r="T921" s="9">
        <f t="shared" si="101"/>
        <v>41262.433391203704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98"/>
        <v>0</v>
      </c>
      <c r="P922">
        <f t="shared" si="99"/>
        <v>2750</v>
      </c>
      <c r="Q922" t="str">
        <f t="shared" si="102"/>
        <v>music</v>
      </c>
      <c r="R922" t="str">
        <f t="shared" si="103"/>
        <v>jazz</v>
      </c>
      <c r="S922" s="9">
        <f t="shared" si="100"/>
        <v>41562.463217592587</v>
      </c>
      <c r="T922" s="9">
        <f t="shared" si="101"/>
        <v>41592.504884259259</v>
      </c>
    </row>
    <row r="923" spans="1:20" ht="43.5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98"/>
        <v>0.309</v>
      </c>
      <c r="P923">
        <f t="shared" si="99"/>
        <v>9817.5</v>
      </c>
      <c r="Q923" t="str">
        <f t="shared" si="102"/>
        <v>music</v>
      </c>
      <c r="R923" t="str">
        <f t="shared" si="103"/>
        <v>jazz</v>
      </c>
      <c r="S923" s="9">
        <f t="shared" si="100"/>
        <v>40846.962685185186</v>
      </c>
      <c r="T923" s="9">
        <f t="shared" si="101"/>
        <v>40889.004351851851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98"/>
        <v>0.21037037037037037</v>
      </c>
      <c r="P924">
        <f t="shared" si="99"/>
        <v>16340</v>
      </c>
      <c r="Q924" t="str">
        <f t="shared" si="102"/>
        <v>music</v>
      </c>
      <c r="R924" t="str">
        <f t="shared" si="103"/>
        <v>jazz</v>
      </c>
      <c r="S924" s="9">
        <f t="shared" si="100"/>
        <v>41878.32167824074</v>
      </c>
      <c r="T924" s="9">
        <f t="shared" si="101"/>
        <v>41913.32167824074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98"/>
        <v>2.1999999999999999E-2</v>
      </c>
      <c r="P925">
        <f t="shared" si="99"/>
        <v>7665</v>
      </c>
      <c r="Q925" t="str">
        <f t="shared" si="102"/>
        <v>music</v>
      </c>
      <c r="R925" t="str">
        <f t="shared" si="103"/>
        <v>jazz</v>
      </c>
      <c r="S925" s="9">
        <f t="shared" si="100"/>
        <v>41934.751423611109</v>
      </c>
      <c r="T925" s="9">
        <f t="shared" si="101"/>
        <v>41964.793090277781</v>
      </c>
    </row>
    <row r="926" spans="1:20" ht="43.5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98"/>
        <v>0.109</v>
      </c>
      <c r="P926">
        <f t="shared" si="99"/>
        <v>1663.5</v>
      </c>
      <c r="Q926" t="str">
        <f t="shared" si="102"/>
        <v>music</v>
      </c>
      <c r="R926" t="str">
        <f t="shared" si="103"/>
        <v>jazz</v>
      </c>
      <c r="S926" s="9">
        <f t="shared" si="100"/>
        <v>41288.734594907401</v>
      </c>
      <c r="T926" s="9">
        <f t="shared" si="101"/>
        <v>41318.734594907401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98"/>
        <v>2.6666666666666668E-2</v>
      </c>
      <c r="P927">
        <f t="shared" si="99"/>
        <v>3080</v>
      </c>
      <c r="Q927" t="str">
        <f t="shared" si="102"/>
        <v>music</v>
      </c>
      <c r="R927" t="str">
        <f t="shared" si="103"/>
        <v>jazz</v>
      </c>
      <c r="S927" s="9">
        <f t="shared" si="100"/>
        <v>41575.672581018516</v>
      </c>
      <c r="T927" s="9">
        <f t="shared" si="101"/>
        <v>41605.71424768518</v>
      </c>
    </row>
    <row r="928" spans="1:20" ht="43.5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98"/>
        <v>0</v>
      </c>
      <c r="P928">
        <f t="shared" si="99"/>
        <v>3500</v>
      </c>
      <c r="Q928" t="str">
        <f t="shared" si="102"/>
        <v>music</v>
      </c>
      <c r="R928" t="str">
        <f t="shared" si="103"/>
        <v>jazz</v>
      </c>
      <c r="S928" s="9">
        <f t="shared" si="100"/>
        <v>40337.811689814815</v>
      </c>
      <c r="T928" s="9">
        <f t="shared" si="101"/>
        <v>40367.736111111109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98"/>
        <v>0</v>
      </c>
      <c r="P929">
        <f t="shared" si="99"/>
        <v>10000</v>
      </c>
      <c r="Q929" t="str">
        <f t="shared" si="102"/>
        <v>music</v>
      </c>
      <c r="R929" t="str">
        <f t="shared" si="103"/>
        <v>jazz</v>
      </c>
      <c r="S929" s="9">
        <f t="shared" si="100"/>
        <v>41013.614525462959</v>
      </c>
      <c r="T929" s="9">
        <f t="shared" si="101"/>
        <v>41043.614525462959</v>
      </c>
    </row>
    <row r="930" spans="1:20" ht="29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98"/>
        <v>0.10862068965517241</v>
      </c>
      <c r="P930">
        <f t="shared" si="99"/>
        <v>8037.5</v>
      </c>
      <c r="Q930" t="str">
        <f t="shared" si="102"/>
        <v>music</v>
      </c>
      <c r="R930" t="str">
        <f t="shared" si="103"/>
        <v>jazz</v>
      </c>
      <c r="S930" s="9">
        <f t="shared" si="100"/>
        <v>41180.654085648144</v>
      </c>
      <c r="T930" s="9">
        <f t="shared" si="101"/>
        <v>41230.791666666664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98"/>
        <v>0</v>
      </c>
      <c r="P931">
        <f t="shared" si="99"/>
        <v>250</v>
      </c>
      <c r="Q931" t="str">
        <f t="shared" si="102"/>
        <v>music</v>
      </c>
      <c r="R931" t="str">
        <f t="shared" si="103"/>
        <v>jazz</v>
      </c>
      <c r="S931" s="9">
        <f t="shared" si="100"/>
        <v>40978.029733796291</v>
      </c>
      <c r="T931" s="9">
        <f t="shared" si="101"/>
        <v>41007.988067129627</v>
      </c>
    </row>
    <row r="932" spans="1:20" ht="43.5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98"/>
        <v>0.38333333333333336</v>
      </c>
      <c r="P932">
        <f t="shared" si="99"/>
        <v>622.5</v>
      </c>
      <c r="Q932" t="str">
        <f t="shared" si="102"/>
        <v>music</v>
      </c>
      <c r="R932" t="str">
        <f t="shared" si="103"/>
        <v>jazz</v>
      </c>
      <c r="S932" s="9">
        <f t="shared" si="100"/>
        <v>40312.707245370366</v>
      </c>
      <c r="T932" s="9">
        <f t="shared" si="101"/>
        <v>40354.688888888886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98"/>
        <v>6.5500000000000003E-2</v>
      </c>
      <c r="P933">
        <f t="shared" si="99"/>
        <v>1065.5</v>
      </c>
      <c r="Q933" t="str">
        <f t="shared" si="102"/>
        <v>music</v>
      </c>
      <c r="R933" t="str">
        <f t="shared" si="103"/>
        <v>jazz</v>
      </c>
      <c r="S933" s="9">
        <f t="shared" si="100"/>
        <v>41680.151643518519</v>
      </c>
      <c r="T933" s="9">
        <f t="shared" si="101"/>
        <v>41714.708333333328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98"/>
        <v>0.14536842105263159</v>
      </c>
      <c r="P934">
        <f t="shared" si="99"/>
        <v>5440.5</v>
      </c>
      <c r="Q934" t="str">
        <f t="shared" si="102"/>
        <v>music</v>
      </c>
      <c r="R934" t="str">
        <f t="shared" si="103"/>
        <v>jazz</v>
      </c>
      <c r="S934" s="9">
        <f t="shared" si="100"/>
        <v>41310.760937499996</v>
      </c>
      <c r="T934" s="9">
        <f t="shared" si="101"/>
        <v>41355.719270833331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98"/>
        <v>0.06</v>
      </c>
      <c r="P935">
        <f t="shared" si="99"/>
        <v>1060</v>
      </c>
      <c r="Q935" t="str">
        <f t="shared" si="102"/>
        <v>music</v>
      </c>
      <c r="R935" t="str">
        <f t="shared" si="103"/>
        <v>jazz</v>
      </c>
      <c r="S935" s="9">
        <f t="shared" si="100"/>
        <v>41710.960752314808</v>
      </c>
      <c r="T935" s="9">
        <f t="shared" si="101"/>
        <v>41770.960752314808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98"/>
        <v>0.30399999999999999</v>
      </c>
      <c r="P936">
        <f t="shared" si="99"/>
        <v>3260</v>
      </c>
      <c r="Q936" t="str">
        <f t="shared" si="102"/>
        <v>music</v>
      </c>
      <c r="R936" t="str">
        <f t="shared" si="103"/>
        <v>jazz</v>
      </c>
      <c r="S936" s="9">
        <f t="shared" si="100"/>
        <v>41733.528749999998</v>
      </c>
      <c r="T936" s="9">
        <f t="shared" si="101"/>
        <v>41763.041666666664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98"/>
        <v>1.4285714285714285E-2</v>
      </c>
      <c r="P937">
        <f t="shared" si="99"/>
        <v>1775</v>
      </c>
      <c r="Q937" t="str">
        <f t="shared" si="102"/>
        <v>music</v>
      </c>
      <c r="R937" t="str">
        <f t="shared" si="103"/>
        <v>jazz</v>
      </c>
      <c r="S937" s="9">
        <f t="shared" si="100"/>
        <v>42368.125335648147</v>
      </c>
      <c r="T937" s="9">
        <f t="shared" si="101"/>
        <v>42398.125335648147</v>
      </c>
    </row>
    <row r="938" spans="1:20" ht="29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98"/>
        <v>0</v>
      </c>
      <c r="P938">
        <f t="shared" si="99"/>
        <v>700</v>
      </c>
      <c r="Q938" t="str">
        <f t="shared" si="102"/>
        <v>music</v>
      </c>
      <c r="R938" t="str">
        <f t="shared" si="103"/>
        <v>jazz</v>
      </c>
      <c r="S938" s="9">
        <f t="shared" si="100"/>
        <v>40882.815844907404</v>
      </c>
      <c r="T938" s="9">
        <f t="shared" si="101"/>
        <v>40926.625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98"/>
        <v>1.1428571428571429E-2</v>
      </c>
      <c r="P939">
        <f t="shared" si="99"/>
        <v>1770</v>
      </c>
      <c r="Q939" t="str">
        <f t="shared" si="102"/>
        <v>music</v>
      </c>
      <c r="R939" t="str">
        <f t="shared" si="103"/>
        <v>jazz</v>
      </c>
      <c r="S939" s="9">
        <f t="shared" si="100"/>
        <v>41551.589780092589</v>
      </c>
      <c r="T939" s="9">
        <f t="shared" si="101"/>
        <v>41581.631446759253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98"/>
        <v>3.5714285714285713E-3</v>
      </c>
      <c r="P940">
        <f t="shared" si="99"/>
        <v>3512.5</v>
      </c>
      <c r="Q940" t="str">
        <f t="shared" si="102"/>
        <v>music</v>
      </c>
      <c r="R940" t="str">
        <f t="shared" si="103"/>
        <v>jazz</v>
      </c>
      <c r="S940" s="9">
        <f t="shared" si="100"/>
        <v>41124.27138888889</v>
      </c>
      <c r="T940" s="9">
        <f t="shared" si="101"/>
        <v>41154.27138888889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98"/>
        <v>1.4545454545454545E-2</v>
      </c>
      <c r="P941">
        <f t="shared" si="99"/>
        <v>1395</v>
      </c>
      <c r="Q941" t="str">
        <f t="shared" si="102"/>
        <v>music</v>
      </c>
      <c r="R941" t="str">
        <f t="shared" si="103"/>
        <v>jazz</v>
      </c>
      <c r="S941" s="9">
        <f t="shared" si="100"/>
        <v>41416.554837962962</v>
      </c>
      <c r="T941" s="9">
        <f t="shared" si="101"/>
        <v>41455.623611111107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98"/>
        <v>0.17155555555555554</v>
      </c>
      <c r="P942">
        <f t="shared" si="99"/>
        <v>5272</v>
      </c>
      <c r="Q942" t="str">
        <f>IF(N942="technology/wearables","technology")</f>
        <v>technology</v>
      </c>
      <c r="R942" t="str">
        <f>IF(N942="technology/wearables","wearables")</f>
        <v>wearables</v>
      </c>
      <c r="S942" s="9">
        <f t="shared" si="100"/>
        <v>42181.800069444442</v>
      </c>
      <c r="T942" s="9">
        <f t="shared" si="101"/>
        <v>42226.800069444442</v>
      </c>
    </row>
    <row r="943" spans="1:20" ht="43.5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98"/>
        <v>2.3220000000000001E-2</v>
      </c>
      <c r="P943">
        <f t="shared" si="99"/>
        <v>25580.5</v>
      </c>
      <c r="Q943" t="str">
        <f t="shared" ref="Q943:Q1006" si="104">IF(N943="technology/wearables","technology")</f>
        <v>technology</v>
      </c>
      <c r="R943" t="str">
        <f t="shared" ref="R943:R1006" si="105">IF(N943="technology/wearables","wearables")</f>
        <v>wearables</v>
      </c>
      <c r="S943" s="9">
        <f t="shared" si="100"/>
        <v>42745.888252314813</v>
      </c>
      <c r="T943" s="9">
        <f t="shared" si="101"/>
        <v>42775.888252314813</v>
      </c>
    </row>
    <row r="944" spans="1:20" ht="43.5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98"/>
        <v>8.9066666666666669E-2</v>
      </c>
      <c r="P944">
        <f t="shared" si="99"/>
        <v>4084</v>
      </c>
      <c r="Q944" t="str">
        <f t="shared" si="104"/>
        <v>technology</v>
      </c>
      <c r="R944" t="str">
        <f t="shared" si="105"/>
        <v>wearables</v>
      </c>
      <c r="S944" s="9">
        <f t="shared" si="100"/>
        <v>42382.634953703702</v>
      </c>
      <c r="T944" s="9">
        <f t="shared" si="101"/>
        <v>42418.634953703702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98"/>
        <v>9.633333333333334E-2</v>
      </c>
      <c r="P945">
        <f t="shared" si="99"/>
        <v>1644.5</v>
      </c>
      <c r="Q945" t="str">
        <f t="shared" si="104"/>
        <v>technology</v>
      </c>
      <c r="R945" t="str">
        <f t="shared" si="105"/>
        <v>wearables</v>
      </c>
      <c r="S945" s="9">
        <f t="shared" si="100"/>
        <v>42673.459548611114</v>
      </c>
      <c r="T945" s="9">
        <f t="shared" si="101"/>
        <v>42703.501215277771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98"/>
        <v>0.13325999999999999</v>
      </c>
      <c r="P946">
        <f t="shared" si="99"/>
        <v>28331.5</v>
      </c>
      <c r="Q946" t="str">
        <f t="shared" si="104"/>
        <v>technology</v>
      </c>
      <c r="R946" t="str">
        <f t="shared" si="105"/>
        <v>wearables</v>
      </c>
      <c r="S946" s="9">
        <f t="shared" si="100"/>
        <v>42444.375578703701</v>
      </c>
      <c r="T946" s="9">
        <f t="shared" si="101"/>
        <v>42478.374999999993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98"/>
        <v>2.4840000000000001E-2</v>
      </c>
      <c r="P947">
        <f t="shared" si="99"/>
        <v>51242</v>
      </c>
      <c r="Q947" t="str">
        <f t="shared" si="104"/>
        <v>technology</v>
      </c>
      <c r="R947" t="str">
        <f t="shared" si="105"/>
        <v>wearables</v>
      </c>
      <c r="S947" s="9">
        <f t="shared" si="100"/>
        <v>42732.66465277777</v>
      </c>
      <c r="T947" s="9">
        <f t="shared" si="101"/>
        <v>42784.790972222218</v>
      </c>
    </row>
    <row r="948" spans="1:20" ht="29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98"/>
        <v>1.9066666666666666E-2</v>
      </c>
      <c r="P948">
        <f t="shared" si="99"/>
        <v>7643</v>
      </c>
      <c r="Q948" t="str">
        <f t="shared" si="104"/>
        <v>technology</v>
      </c>
      <c r="R948" t="str">
        <f t="shared" si="105"/>
        <v>wearables</v>
      </c>
      <c r="S948" s="9">
        <f t="shared" si="100"/>
        <v>42592.542222222219</v>
      </c>
      <c r="T948" s="9">
        <f t="shared" si="101"/>
        <v>42622.542222222219</v>
      </c>
    </row>
    <row r="949" spans="1:20" ht="43.5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98"/>
        <v>0</v>
      </c>
      <c r="P949">
        <f t="shared" si="99"/>
        <v>425</v>
      </c>
      <c r="Q949" t="str">
        <f t="shared" si="104"/>
        <v>technology</v>
      </c>
      <c r="R949" t="str">
        <f t="shared" si="105"/>
        <v>wearables</v>
      </c>
      <c r="S949" s="9">
        <f t="shared" si="100"/>
        <v>42491.57298611111</v>
      </c>
      <c r="T949" s="9">
        <f t="shared" si="101"/>
        <v>42551.57298611111</v>
      </c>
    </row>
    <row r="950" spans="1:20" ht="43.5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98"/>
        <v>0.12</v>
      </c>
      <c r="P950">
        <f t="shared" si="99"/>
        <v>2240</v>
      </c>
      <c r="Q950" t="str">
        <f t="shared" si="104"/>
        <v>technology</v>
      </c>
      <c r="R950" t="str">
        <f t="shared" si="105"/>
        <v>wearables</v>
      </c>
      <c r="S950" s="9">
        <f t="shared" si="100"/>
        <v>42411.619953703703</v>
      </c>
      <c r="T950" s="9">
        <f t="shared" si="101"/>
        <v>42441.619953703703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98"/>
        <v>1.3650000000000001E-2</v>
      </c>
      <c r="P951">
        <f t="shared" si="99"/>
        <v>10136.5</v>
      </c>
      <c r="Q951" t="str">
        <f t="shared" si="104"/>
        <v>technology</v>
      </c>
      <c r="R951" t="str">
        <f t="shared" si="105"/>
        <v>wearables</v>
      </c>
      <c r="S951" s="9">
        <f t="shared" si="100"/>
        <v>42360.835370370369</v>
      </c>
      <c r="T951" s="9">
        <f t="shared" si="101"/>
        <v>42420.835370370369</v>
      </c>
    </row>
    <row r="952" spans="1:20" ht="29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98"/>
        <v>0.28039999999999998</v>
      </c>
      <c r="P952">
        <f t="shared" si="99"/>
        <v>3201</v>
      </c>
      <c r="Q952" t="str">
        <f t="shared" si="104"/>
        <v>technology</v>
      </c>
      <c r="R952" t="str">
        <f t="shared" si="105"/>
        <v>wearables</v>
      </c>
      <c r="S952" s="9">
        <f t="shared" si="100"/>
        <v>42356.54237268518</v>
      </c>
      <c r="T952" s="9">
        <f t="shared" si="101"/>
        <v>42386.54237268518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98"/>
        <v>0.38390000000000002</v>
      </c>
      <c r="P953">
        <f t="shared" si="99"/>
        <v>34597.5</v>
      </c>
      <c r="Q953" t="str">
        <f t="shared" si="104"/>
        <v>technology</v>
      </c>
      <c r="R953" t="str">
        <f t="shared" si="105"/>
        <v>wearables</v>
      </c>
      <c r="S953" s="9">
        <f t="shared" si="100"/>
        <v>42480.445277777777</v>
      </c>
      <c r="T953" s="9">
        <f t="shared" si="101"/>
        <v>42525.445277777777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98"/>
        <v>0.39942857142857141</v>
      </c>
      <c r="P954">
        <f t="shared" si="99"/>
        <v>34286</v>
      </c>
      <c r="Q954" t="str">
        <f t="shared" si="104"/>
        <v>technology</v>
      </c>
      <c r="R954" t="str">
        <f t="shared" si="105"/>
        <v>wearables</v>
      </c>
      <c r="S954" s="9">
        <f t="shared" si="100"/>
        <v>42662.405231481483</v>
      </c>
      <c r="T954" s="9">
        <f t="shared" si="101"/>
        <v>42692.44689814814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98"/>
        <v>8.3999999999999995E-3</v>
      </c>
      <c r="P955">
        <f t="shared" si="99"/>
        <v>7563</v>
      </c>
      <c r="Q955" t="str">
        <f t="shared" si="104"/>
        <v>technology</v>
      </c>
      <c r="R955" t="str">
        <f t="shared" si="105"/>
        <v>wearables</v>
      </c>
      <c r="S955" s="9">
        <f t="shared" si="100"/>
        <v>41998.956006944441</v>
      </c>
      <c r="T955" s="9">
        <f t="shared" si="101"/>
        <v>42028.956006944441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98"/>
        <v>0.43406666666666666</v>
      </c>
      <c r="P956">
        <f t="shared" si="99"/>
        <v>10755.5</v>
      </c>
      <c r="Q956" t="str">
        <f t="shared" si="104"/>
        <v>technology</v>
      </c>
      <c r="R956" t="str">
        <f t="shared" si="105"/>
        <v>wearables</v>
      </c>
      <c r="S956" s="9">
        <f t="shared" si="100"/>
        <v>42194.625451388885</v>
      </c>
      <c r="T956" s="9">
        <f t="shared" si="101"/>
        <v>42236.625451388885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98"/>
        <v>5.6613333333333335E-2</v>
      </c>
      <c r="P957">
        <f t="shared" si="99"/>
        <v>158492</v>
      </c>
      <c r="Q957" t="str">
        <f t="shared" si="104"/>
        <v>technology</v>
      </c>
      <c r="R957" t="str">
        <f t="shared" si="105"/>
        <v>wearables</v>
      </c>
      <c r="S957" s="9">
        <f t="shared" si="100"/>
        <v>42586.086805555555</v>
      </c>
      <c r="T957" s="9">
        <f t="shared" si="101"/>
        <v>42626.086805555555</v>
      </c>
    </row>
    <row r="958" spans="1:20" ht="43.5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98"/>
        <v>1.7219999999999999E-2</v>
      </c>
      <c r="P958">
        <f t="shared" si="99"/>
        <v>25430.5</v>
      </c>
      <c r="Q958" t="str">
        <f t="shared" si="104"/>
        <v>technology</v>
      </c>
      <c r="R958" t="str">
        <f t="shared" si="105"/>
        <v>wearables</v>
      </c>
      <c r="S958" s="9">
        <f t="shared" si="100"/>
        <v>42060.705543981479</v>
      </c>
      <c r="T958" s="9">
        <f t="shared" si="101"/>
        <v>42120.663877314808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98"/>
        <v>1.9416666666666665E-2</v>
      </c>
      <c r="P959">
        <f t="shared" si="99"/>
        <v>6116.5</v>
      </c>
      <c r="Q959" t="str">
        <f t="shared" si="104"/>
        <v>technology</v>
      </c>
      <c r="R959" t="str">
        <f t="shared" si="105"/>
        <v>wearables</v>
      </c>
      <c r="S959" s="9">
        <f t="shared" si="100"/>
        <v>42660.344131944446</v>
      </c>
      <c r="T959" s="9">
        <f t="shared" si="101"/>
        <v>42691.385798611103</v>
      </c>
    </row>
    <row r="960" spans="1:20" ht="43.5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98"/>
        <v>0.11328275684711328</v>
      </c>
      <c r="P960">
        <f t="shared" si="99"/>
        <v>4329</v>
      </c>
      <c r="Q960" t="str">
        <f t="shared" si="104"/>
        <v>technology</v>
      </c>
      <c r="R960" t="str">
        <f t="shared" si="105"/>
        <v>wearables</v>
      </c>
      <c r="S960" s="9">
        <f t="shared" si="100"/>
        <v>42082.594479166662</v>
      </c>
      <c r="T960" s="9">
        <f t="shared" si="101"/>
        <v>42103.999305555553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98"/>
        <v>0.3886</v>
      </c>
      <c r="P961">
        <f t="shared" si="99"/>
        <v>34715</v>
      </c>
      <c r="Q961" t="str">
        <f t="shared" si="104"/>
        <v>technology</v>
      </c>
      <c r="R961" t="str">
        <f t="shared" si="105"/>
        <v>wearables</v>
      </c>
      <c r="S961" s="9">
        <f t="shared" si="100"/>
        <v>41992.96603009259</v>
      </c>
      <c r="T961" s="9">
        <f t="shared" si="101"/>
        <v>42022.96603009259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98"/>
        <v>0.46100628930817611</v>
      </c>
      <c r="P962">
        <f t="shared" si="99"/>
        <v>40652.5</v>
      </c>
      <c r="Q962" t="str">
        <f t="shared" si="104"/>
        <v>technology</v>
      </c>
      <c r="R962" t="str">
        <f t="shared" si="105"/>
        <v>wearables</v>
      </c>
      <c r="S962" s="9">
        <f t="shared" si="100"/>
        <v>42766.41846064815</v>
      </c>
      <c r="T962" s="9">
        <f t="shared" si="101"/>
        <v>42808.376793981479</v>
      </c>
    </row>
    <row r="963" spans="1:20" ht="29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06">E963/D963</f>
        <v>0.42188421052631581</v>
      </c>
      <c r="P963">
        <f t="shared" ref="P963:P1026" si="107">AVERAGE(D963:E963)</f>
        <v>67539.5</v>
      </c>
      <c r="Q963" t="str">
        <f t="shared" si="104"/>
        <v>technology</v>
      </c>
      <c r="R963" t="str">
        <f t="shared" si="105"/>
        <v>wearables</v>
      </c>
      <c r="S963" s="9">
        <f t="shared" ref="S963:S1026" si="108">J963/86400+25569+(-5/24)</f>
        <v>42740.485358796293</v>
      </c>
      <c r="T963" s="9">
        <f t="shared" si="101"/>
        <v>42786.583333333336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06"/>
        <v>0.2848</v>
      </c>
      <c r="P964">
        <f t="shared" si="107"/>
        <v>1606</v>
      </c>
      <c r="Q964" t="str">
        <f t="shared" si="104"/>
        <v>technology</v>
      </c>
      <c r="R964" t="str">
        <f t="shared" si="105"/>
        <v>wearables</v>
      </c>
      <c r="S964" s="9">
        <f t="shared" si="108"/>
        <v>42373.504085648143</v>
      </c>
      <c r="T964" s="9">
        <f t="shared" ref="T964:T1027" si="109">I964/86400+25569+(-5/24)</f>
        <v>42411.504085648143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06"/>
        <v>1.0771428571428571E-2</v>
      </c>
      <c r="P965">
        <f t="shared" si="107"/>
        <v>17688.5</v>
      </c>
      <c r="Q965" t="str">
        <f t="shared" si="104"/>
        <v>technology</v>
      </c>
      <c r="R965" t="str">
        <f t="shared" si="105"/>
        <v>wearables</v>
      </c>
      <c r="S965" s="9">
        <f t="shared" si="108"/>
        <v>42625.427303240744</v>
      </c>
      <c r="T965" s="9">
        <f t="shared" si="109"/>
        <v>42660.427303240744</v>
      </c>
    </row>
    <row r="966" spans="1:20" ht="43.5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06"/>
        <v>7.9909090909090902E-3</v>
      </c>
      <c r="P966">
        <f t="shared" si="107"/>
        <v>55439.5</v>
      </c>
      <c r="Q966" t="str">
        <f t="shared" si="104"/>
        <v>technology</v>
      </c>
      <c r="R966" t="str">
        <f t="shared" si="105"/>
        <v>wearables</v>
      </c>
      <c r="S966" s="9">
        <f t="shared" si="108"/>
        <v>42208.420358796291</v>
      </c>
      <c r="T966" s="9">
        <f t="shared" si="109"/>
        <v>42248.420358796291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06"/>
        <v>1.192E-2</v>
      </c>
      <c r="P967">
        <f t="shared" si="107"/>
        <v>12649</v>
      </c>
      <c r="Q967" t="str">
        <f t="shared" si="104"/>
        <v>technology</v>
      </c>
      <c r="R967" t="str">
        <f t="shared" si="105"/>
        <v>wearables</v>
      </c>
      <c r="S967" s="9">
        <f t="shared" si="108"/>
        <v>42636.808402777773</v>
      </c>
      <c r="T967" s="9">
        <f t="shared" si="109"/>
        <v>42668.957638888889</v>
      </c>
    </row>
    <row r="968" spans="1:20" ht="29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06"/>
        <v>0.14799999999999999</v>
      </c>
      <c r="P968">
        <f t="shared" si="107"/>
        <v>6888</v>
      </c>
      <c r="Q968" t="str">
        <f t="shared" si="104"/>
        <v>technology</v>
      </c>
      <c r="R968" t="str">
        <f t="shared" si="105"/>
        <v>wearables</v>
      </c>
      <c r="S968" s="9">
        <f t="shared" si="108"/>
        <v>42619.427453703705</v>
      </c>
      <c r="T968" s="9">
        <f t="shared" si="109"/>
        <v>42649.427453703705</v>
      </c>
    </row>
    <row r="969" spans="1:20" ht="29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06"/>
        <v>0.17810000000000001</v>
      </c>
      <c r="P969">
        <f t="shared" si="107"/>
        <v>11781</v>
      </c>
      <c r="Q969" t="str">
        <f t="shared" si="104"/>
        <v>technology</v>
      </c>
      <c r="R969" t="str">
        <f t="shared" si="105"/>
        <v>wearables</v>
      </c>
      <c r="S969" s="9">
        <f t="shared" si="108"/>
        <v>42422.045995370368</v>
      </c>
      <c r="T969" s="9">
        <f t="shared" si="109"/>
        <v>42482.004328703704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06"/>
        <v>1.325E-2</v>
      </c>
      <c r="P970">
        <f t="shared" si="107"/>
        <v>4053</v>
      </c>
      <c r="Q970" t="str">
        <f t="shared" si="104"/>
        <v>technology</v>
      </c>
      <c r="R970" t="str">
        <f t="shared" si="105"/>
        <v>wearables</v>
      </c>
      <c r="S970" s="9">
        <f t="shared" si="108"/>
        <v>41836.639282407406</v>
      </c>
      <c r="T970" s="9">
        <f t="shared" si="109"/>
        <v>41866.639282407406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06"/>
        <v>0.46666666666666667</v>
      </c>
      <c r="P971">
        <f t="shared" si="107"/>
        <v>22000</v>
      </c>
      <c r="Q971" t="str">
        <f t="shared" si="104"/>
        <v>technology</v>
      </c>
      <c r="R971" t="str">
        <f t="shared" si="105"/>
        <v>wearables</v>
      </c>
      <c r="S971" s="9">
        <f t="shared" si="108"/>
        <v>42742.094988425924</v>
      </c>
      <c r="T971" s="9">
        <f t="shared" si="109"/>
        <v>42775.094988425924</v>
      </c>
    </row>
    <row r="972" spans="1:20" ht="43.5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06"/>
        <v>0.4592</v>
      </c>
      <c r="P972">
        <f t="shared" si="107"/>
        <v>3648</v>
      </c>
      <c r="Q972" t="str">
        <f t="shared" si="104"/>
        <v>technology</v>
      </c>
      <c r="R972" t="str">
        <f t="shared" si="105"/>
        <v>wearables</v>
      </c>
      <c r="S972" s="9">
        <f t="shared" si="108"/>
        <v>42721.012187499997</v>
      </c>
      <c r="T972" s="9">
        <f t="shared" si="109"/>
        <v>42757.999305555553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06"/>
        <v>2.2599999999999999E-3</v>
      </c>
      <c r="P973">
        <f t="shared" si="107"/>
        <v>50113</v>
      </c>
      <c r="Q973" t="str">
        <f t="shared" si="104"/>
        <v>technology</v>
      </c>
      <c r="R973" t="str">
        <f t="shared" si="105"/>
        <v>wearables</v>
      </c>
      <c r="S973" s="9">
        <f t="shared" si="108"/>
        <v>42111.500694444439</v>
      </c>
      <c r="T973" s="9">
        <f t="shared" si="109"/>
        <v>42156.500694444439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06"/>
        <v>0.34625</v>
      </c>
      <c r="P974">
        <f t="shared" si="107"/>
        <v>13462.5</v>
      </c>
      <c r="Q974" t="str">
        <f t="shared" si="104"/>
        <v>technology</v>
      </c>
      <c r="R974" t="str">
        <f t="shared" si="105"/>
        <v>wearables</v>
      </c>
      <c r="S974" s="9">
        <f t="shared" si="108"/>
        <v>41856.657384259255</v>
      </c>
      <c r="T974" s="9">
        <f t="shared" si="109"/>
        <v>41886.082638888889</v>
      </c>
    </row>
    <row r="975" spans="1:20" ht="43.5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06"/>
        <v>2.0549999999999999E-2</v>
      </c>
      <c r="P975">
        <f t="shared" si="107"/>
        <v>10205.5</v>
      </c>
      <c r="Q975" t="str">
        <f t="shared" si="104"/>
        <v>technology</v>
      </c>
      <c r="R975" t="str">
        <f t="shared" si="105"/>
        <v>wearables</v>
      </c>
      <c r="S975" s="9">
        <f t="shared" si="108"/>
        <v>42256.806631944441</v>
      </c>
      <c r="T975" s="9">
        <f t="shared" si="109"/>
        <v>42316.848298611112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06"/>
        <v>5.5999999999999999E-3</v>
      </c>
      <c r="P976">
        <f t="shared" si="107"/>
        <v>25140</v>
      </c>
      <c r="Q976" t="str">
        <f t="shared" si="104"/>
        <v>technology</v>
      </c>
      <c r="R976" t="str">
        <f t="shared" si="105"/>
        <v>wearables</v>
      </c>
      <c r="S976" s="9">
        <f t="shared" si="108"/>
        <v>42424.541157407402</v>
      </c>
      <c r="T976" s="9">
        <f t="shared" si="109"/>
        <v>42454.499490740738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06"/>
        <v>2.6069999999999999E-2</v>
      </c>
      <c r="P977">
        <f t="shared" si="107"/>
        <v>51303.5</v>
      </c>
      <c r="Q977" t="str">
        <f t="shared" si="104"/>
        <v>technology</v>
      </c>
      <c r="R977" t="str">
        <f t="shared" si="105"/>
        <v>wearables</v>
      </c>
      <c r="S977" s="9">
        <f t="shared" si="108"/>
        <v>42489.488252314812</v>
      </c>
      <c r="T977" s="9">
        <f t="shared" si="109"/>
        <v>42549.488252314812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06"/>
        <v>1.9259999999999999E-2</v>
      </c>
      <c r="P978">
        <f t="shared" si="107"/>
        <v>76444.5</v>
      </c>
      <c r="Q978" t="str">
        <f t="shared" si="104"/>
        <v>technology</v>
      </c>
      <c r="R978" t="str">
        <f t="shared" si="105"/>
        <v>wearables</v>
      </c>
      <c r="S978" s="9">
        <f t="shared" si="108"/>
        <v>42184.850659722222</v>
      </c>
      <c r="T978" s="9">
        <f t="shared" si="109"/>
        <v>42229.850659722222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06"/>
        <v>0.33666666666666667</v>
      </c>
      <c r="P979">
        <f t="shared" si="107"/>
        <v>1804.5</v>
      </c>
      <c r="Q979" t="str">
        <f t="shared" si="104"/>
        <v>technology</v>
      </c>
      <c r="R979" t="str">
        <f t="shared" si="105"/>
        <v>wearables</v>
      </c>
      <c r="S979" s="9">
        <f t="shared" si="108"/>
        <v>42391.733761574076</v>
      </c>
      <c r="T979" s="9">
        <f t="shared" si="109"/>
        <v>42421.733761574076</v>
      </c>
    </row>
    <row r="980" spans="1:20" ht="29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06"/>
        <v>0.5626326718299024</v>
      </c>
      <c r="P980">
        <f t="shared" si="107"/>
        <v>135081</v>
      </c>
      <c r="Q980" t="str">
        <f t="shared" si="104"/>
        <v>technology</v>
      </c>
      <c r="R980" t="str">
        <f t="shared" si="105"/>
        <v>wearables</v>
      </c>
      <c r="S980" s="9">
        <f t="shared" si="108"/>
        <v>42395.100706018515</v>
      </c>
      <c r="T980" s="9">
        <f t="shared" si="109"/>
        <v>42425.100706018515</v>
      </c>
    </row>
    <row r="981" spans="1:20" ht="43.5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06"/>
        <v>0.82817600000000002</v>
      </c>
      <c r="P981">
        <f t="shared" si="107"/>
        <v>31993.08</v>
      </c>
      <c r="Q981" t="str">
        <f t="shared" si="104"/>
        <v>technology</v>
      </c>
      <c r="R981" t="str">
        <f t="shared" si="105"/>
        <v>wearables</v>
      </c>
      <c r="S981" s="9">
        <f t="shared" si="108"/>
        <v>42506.208657407406</v>
      </c>
      <c r="T981" s="9">
        <f t="shared" si="109"/>
        <v>42541.582638888889</v>
      </c>
    </row>
    <row r="982" spans="1:20" ht="43.5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06"/>
        <v>0.14860000000000001</v>
      </c>
      <c r="P982">
        <f t="shared" si="107"/>
        <v>5743</v>
      </c>
      <c r="Q982" t="str">
        <f t="shared" si="104"/>
        <v>technology</v>
      </c>
      <c r="R982" t="str">
        <f t="shared" si="105"/>
        <v>wearables</v>
      </c>
      <c r="S982" s="9">
        <f t="shared" si="108"/>
        <v>41928.695856481478</v>
      </c>
      <c r="T982" s="9">
        <f t="shared" si="109"/>
        <v>41973.737523148149</v>
      </c>
    </row>
    <row r="983" spans="1:20" ht="43.5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06"/>
        <v>1.2375123751237513E-4</v>
      </c>
      <c r="P983">
        <f t="shared" si="107"/>
        <v>44449.5</v>
      </c>
      <c r="Q983" t="str">
        <f t="shared" si="104"/>
        <v>technology</v>
      </c>
      <c r="R983" t="str">
        <f t="shared" si="105"/>
        <v>wearables</v>
      </c>
      <c r="S983" s="9">
        <f t="shared" si="108"/>
        <v>41830.738680555551</v>
      </c>
      <c r="T983" s="9">
        <f t="shared" si="109"/>
        <v>41860.738680555551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06"/>
        <v>1.7142857142857143E-4</v>
      </c>
      <c r="P984">
        <f t="shared" si="107"/>
        <v>8751.5</v>
      </c>
      <c r="Q984" t="str">
        <f t="shared" si="104"/>
        <v>technology</v>
      </c>
      <c r="R984" t="str">
        <f t="shared" si="105"/>
        <v>wearables</v>
      </c>
      <c r="S984" s="9">
        <f t="shared" si="108"/>
        <v>42615.544976851852</v>
      </c>
      <c r="T984" s="9">
        <f t="shared" si="109"/>
        <v>42645.544976851852</v>
      </c>
    </row>
    <row r="985" spans="1:20" ht="43.5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06"/>
        <v>0.2950613611721471</v>
      </c>
      <c r="P985">
        <f t="shared" si="107"/>
        <v>67485</v>
      </c>
      <c r="Q985" t="str">
        <f t="shared" si="104"/>
        <v>technology</v>
      </c>
      <c r="R985" t="str">
        <f t="shared" si="105"/>
        <v>wearables</v>
      </c>
      <c r="S985" s="9">
        <f t="shared" si="108"/>
        <v>42574.459317129622</v>
      </c>
      <c r="T985" s="9">
        <f t="shared" si="109"/>
        <v>42605.662499999999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06"/>
        <v>1.06E-2</v>
      </c>
      <c r="P986">
        <f t="shared" si="107"/>
        <v>5053</v>
      </c>
      <c r="Q986" t="str">
        <f t="shared" si="104"/>
        <v>technology</v>
      </c>
      <c r="R986" t="str">
        <f t="shared" si="105"/>
        <v>wearables</v>
      </c>
      <c r="S986" s="9">
        <f t="shared" si="108"/>
        <v>42060.907499999994</v>
      </c>
      <c r="T986" s="9">
        <f t="shared" si="109"/>
        <v>42090.86583333333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06"/>
        <v>6.2933333333333327E-2</v>
      </c>
      <c r="P987">
        <f t="shared" si="107"/>
        <v>15944</v>
      </c>
      <c r="Q987" t="str">
        <f t="shared" si="104"/>
        <v>technology</v>
      </c>
      <c r="R987" t="str">
        <f t="shared" si="105"/>
        <v>wearables</v>
      </c>
      <c r="S987" s="9">
        <f t="shared" si="108"/>
        <v>42339.759375000001</v>
      </c>
      <c r="T987" s="9">
        <f t="shared" si="109"/>
        <v>42369.749999999993</v>
      </c>
    </row>
    <row r="988" spans="1:20" ht="43.5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06"/>
        <v>0.1275</v>
      </c>
      <c r="P988">
        <f t="shared" si="107"/>
        <v>11275</v>
      </c>
      <c r="Q988" t="str">
        <f t="shared" si="104"/>
        <v>technology</v>
      </c>
      <c r="R988" t="str">
        <f t="shared" si="105"/>
        <v>wearables</v>
      </c>
      <c r="S988" s="9">
        <f t="shared" si="108"/>
        <v>42324.559027777774</v>
      </c>
      <c r="T988" s="9">
        <f t="shared" si="109"/>
        <v>42378.791666666664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06"/>
        <v>0.13220000000000001</v>
      </c>
      <c r="P989">
        <f t="shared" si="107"/>
        <v>28305</v>
      </c>
      <c r="Q989" t="str">
        <f t="shared" si="104"/>
        <v>technology</v>
      </c>
      <c r="R989" t="str">
        <f t="shared" si="105"/>
        <v>wearables</v>
      </c>
      <c r="S989" s="9">
        <f t="shared" si="108"/>
        <v>41773.086226851847</v>
      </c>
      <c r="T989" s="9">
        <f t="shared" si="109"/>
        <v>41813.086226851847</v>
      </c>
    </row>
    <row r="990" spans="1:20" ht="43.5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06"/>
        <v>0</v>
      </c>
      <c r="P990">
        <f t="shared" si="107"/>
        <v>2500</v>
      </c>
      <c r="Q990" t="str">
        <f t="shared" si="104"/>
        <v>technology</v>
      </c>
      <c r="R990" t="str">
        <f t="shared" si="105"/>
        <v>wearables</v>
      </c>
      <c r="S990" s="9">
        <f t="shared" si="108"/>
        <v>42614.148437499993</v>
      </c>
      <c r="T990" s="9">
        <f t="shared" si="109"/>
        <v>42644.148437499993</v>
      </c>
    </row>
    <row r="991" spans="1:20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06"/>
        <v>0.16769999999999999</v>
      </c>
      <c r="P991">
        <f t="shared" si="107"/>
        <v>5838.5</v>
      </c>
      <c r="Q991" t="str">
        <f t="shared" si="104"/>
        <v>technology</v>
      </c>
      <c r="R991" t="str">
        <f t="shared" si="105"/>
        <v>wearables</v>
      </c>
      <c r="S991" s="9">
        <f t="shared" si="108"/>
        <v>42611.725636574069</v>
      </c>
      <c r="T991" s="9">
        <f t="shared" si="109"/>
        <v>42641.725636574069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06"/>
        <v>1.0399999999999999E-3</v>
      </c>
      <c r="P992">
        <f t="shared" si="107"/>
        <v>12513</v>
      </c>
      <c r="Q992" t="str">
        <f t="shared" si="104"/>
        <v>technology</v>
      </c>
      <c r="R992" t="str">
        <f t="shared" si="105"/>
        <v>wearables</v>
      </c>
      <c r="S992" s="9">
        <f t="shared" si="108"/>
        <v>41855.575972222221</v>
      </c>
      <c r="T992" s="9">
        <f t="shared" si="109"/>
        <v>41885.575972222221</v>
      </c>
    </row>
    <row r="993" spans="1:20" ht="58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06"/>
        <v>4.24E-2</v>
      </c>
      <c r="P993">
        <f t="shared" si="107"/>
        <v>2606</v>
      </c>
      <c r="Q993" t="str">
        <f t="shared" si="104"/>
        <v>technology</v>
      </c>
      <c r="R993" t="str">
        <f t="shared" si="105"/>
        <v>wearables</v>
      </c>
      <c r="S993" s="9">
        <f t="shared" si="108"/>
        <v>42538.548472222225</v>
      </c>
      <c r="T993" s="9">
        <f t="shared" si="109"/>
        <v>42563.57708333333</v>
      </c>
    </row>
    <row r="994" spans="1:20" ht="29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06"/>
        <v>4.6699999999999997E-3</v>
      </c>
      <c r="P994">
        <f t="shared" si="107"/>
        <v>50233.5</v>
      </c>
      <c r="Q994" t="str">
        <f t="shared" si="104"/>
        <v>technology</v>
      </c>
      <c r="R994" t="str">
        <f t="shared" si="105"/>
        <v>wearables</v>
      </c>
      <c r="S994" s="9">
        <f t="shared" si="108"/>
        <v>42437.71665509259</v>
      </c>
      <c r="T994" s="9">
        <f t="shared" si="109"/>
        <v>42497.674988425926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06"/>
        <v>0.25087142857142858</v>
      </c>
      <c r="P995">
        <f t="shared" si="107"/>
        <v>43780.5</v>
      </c>
      <c r="Q995" t="str">
        <f t="shared" si="104"/>
        <v>technology</v>
      </c>
      <c r="R995" t="str">
        <f t="shared" si="105"/>
        <v>wearables</v>
      </c>
      <c r="S995" s="9">
        <f t="shared" si="108"/>
        <v>42652.756574074076</v>
      </c>
      <c r="T995" s="9">
        <f t="shared" si="109"/>
        <v>42685.999999999993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06"/>
        <v>2.3345000000000001E-2</v>
      </c>
      <c r="P996">
        <f t="shared" si="107"/>
        <v>102334.5</v>
      </c>
      <c r="Q996" t="str">
        <f t="shared" si="104"/>
        <v>technology</v>
      </c>
      <c r="R996" t="str">
        <f t="shared" si="105"/>
        <v>wearables</v>
      </c>
      <c r="S996" s="9">
        <f t="shared" si="108"/>
        <v>41921.054745370369</v>
      </c>
      <c r="T996" s="9">
        <f t="shared" si="109"/>
        <v>41973.749305555553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06"/>
        <v>7.2599999999999998E-2</v>
      </c>
      <c r="P997">
        <f t="shared" si="107"/>
        <v>5363</v>
      </c>
      <c r="Q997" t="str">
        <f t="shared" si="104"/>
        <v>technology</v>
      </c>
      <c r="R997" t="str">
        <f t="shared" si="105"/>
        <v>wearables</v>
      </c>
      <c r="S997" s="9">
        <f t="shared" si="108"/>
        <v>41947.732407407406</v>
      </c>
      <c r="T997" s="9">
        <f t="shared" si="109"/>
        <v>41972.458333333336</v>
      </c>
    </row>
    <row r="998" spans="1:20" ht="29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06"/>
        <v>1.6250000000000001E-2</v>
      </c>
      <c r="P998">
        <f t="shared" si="107"/>
        <v>2032.5</v>
      </c>
      <c r="Q998" t="str">
        <f t="shared" si="104"/>
        <v>technology</v>
      </c>
      <c r="R998" t="str">
        <f t="shared" si="105"/>
        <v>wearables</v>
      </c>
      <c r="S998" s="9">
        <f t="shared" si="108"/>
        <v>41817.658101851848</v>
      </c>
      <c r="T998" s="9">
        <f t="shared" si="109"/>
        <v>41847.435416666667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06"/>
        <v>1.2999999999999999E-2</v>
      </c>
      <c r="P999">
        <f t="shared" si="107"/>
        <v>2532.5</v>
      </c>
      <c r="Q999" t="str">
        <f t="shared" si="104"/>
        <v>technology</v>
      </c>
      <c r="R999" t="str">
        <f t="shared" si="105"/>
        <v>wearables</v>
      </c>
      <c r="S999" s="9">
        <f t="shared" si="108"/>
        <v>41940.894641203704</v>
      </c>
      <c r="T999" s="9">
        <f t="shared" si="109"/>
        <v>41970.936307870368</v>
      </c>
    </row>
    <row r="1000" spans="1:20" ht="29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06"/>
        <v>0.58558333333333334</v>
      </c>
      <c r="P1000">
        <f t="shared" si="107"/>
        <v>47567.5</v>
      </c>
      <c r="Q1000" t="str">
        <f t="shared" si="104"/>
        <v>technology</v>
      </c>
      <c r="R1000" t="str">
        <f t="shared" si="105"/>
        <v>wearables</v>
      </c>
      <c r="S1000" s="9">
        <f t="shared" si="108"/>
        <v>42281.960659722223</v>
      </c>
      <c r="T1000" s="9">
        <f t="shared" si="109"/>
        <v>42327.002326388887</v>
      </c>
    </row>
    <row r="1001" spans="1:20" ht="29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06"/>
        <v>7.7886666666666673E-2</v>
      </c>
      <c r="P1001">
        <f t="shared" si="107"/>
        <v>80841.5</v>
      </c>
      <c r="Q1001" t="str">
        <f t="shared" si="104"/>
        <v>technology</v>
      </c>
      <c r="R1001" t="str">
        <f t="shared" si="105"/>
        <v>wearables</v>
      </c>
      <c r="S1001" s="9">
        <f t="shared" si="108"/>
        <v>41926.091319444444</v>
      </c>
      <c r="T1001" s="9">
        <f t="shared" si="109"/>
        <v>41956.126388888886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06"/>
        <v>2.2157147647256063E-2</v>
      </c>
      <c r="P1002">
        <f t="shared" si="107"/>
        <v>457262</v>
      </c>
      <c r="Q1002" t="str">
        <f t="shared" si="104"/>
        <v>technology</v>
      </c>
      <c r="R1002" t="str">
        <f t="shared" si="105"/>
        <v>wearables</v>
      </c>
      <c r="S1002" s="9">
        <f t="shared" si="108"/>
        <v>42748.851388888885</v>
      </c>
      <c r="T1002" s="9">
        <f t="shared" si="109"/>
        <v>42808.80972222222</v>
      </c>
    </row>
    <row r="1003" spans="1:20" ht="43.5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06"/>
        <v>1.04</v>
      </c>
      <c r="P1003">
        <f t="shared" si="107"/>
        <v>5100</v>
      </c>
      <c r="Q1003" t="str">
        <f t="shared" si="104"/>
        <v>technology</v>
      </c>
      <c r="R1003" t="str">
        <f t="shared" si="105"/>
        <v>wearables</v>
      </c>
      <c r="S1003" s="9">
        <f t="shared" si="108"/>
        <v>42720.511724537035</v>
      </c>
      <c r="T1003" s="9">
        <f t="shared" si="109"/>
        <v>42765.511724537035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06"/>
        <v>0.29602960296029601</v>
      </c>
      <c r="P1004">
        <f t="shared" si="107"/>
        <v>6479.5</v>
      </c>
      <c r="Q1004" t="str">
        <f t="shared" si="104"/>
        <v>technology</v>
      </c>
      <c r="R1004" t="str">
        <f t="shared" si="105"/>
        <v>wearables</v>
      </c>
      <c r="S1004" s="9">
        <f t="shared" si="108"/>
        <v>42325.475856481477</v>
      </c>
      <c r="T1004" s="9">
        <f t="shared" si="109"/>
        <v>42355.040972222218</v>
      </c>
    </row>
    <row r="1005" spans="1:20" ht="29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06"/>
        <v>0.16055</v>
      </c>
      <c r="P1005">
        <f t="shared" si="107"/>
        <v>11605.5</v>
      </c>
      <c r="Q1005" t="str">
        <f t="shared" si="104"/>
        <v>technology</v>
      </c>
      <c r="R1005" t="str">
        <f t="shared" si="105"/>
        <v>wearables</v>
      </c>
      <c r="S1005" s="9">
        <f t="shared" si="108"/>
        <v>42780.500706018516</v>
      </c>
      <c r="T1005" s="9">
        <f t="shared" si="109"/>
        <v>42810.459039351852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06"/>
        <v>0.82208000000000003</v>
      </c>
      <c r="P1006">
        <f t="shared" si="107"/>
        <v>22776</v>
      </c>
      <c r="Q1006" t="str">
        <f t="shared" si="104"/>
        <v>technology</v>
      </c>
      <c r="R1006" t="str">
        <f t="shared" si="105"/>
        <v>wearables</v>
      </c>
      <c r="S1006" s="9">
        <f t="shared" si="108"/>
        <v>42388.5003125</v>
      </c>
      <c r="T1006" s="9">
        <f t="shared" si="109"/>
        <v>42418.5003125</v>
      </c>
    </row>
    <row r="1007" spans="1:20" ht="29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06"/>
        <v>0.75051000000000001</v>
      </c>
      <c r="P1007">
        <f t="shared" si="107"/>
        <v>175051</v>
      </c>
      <c r="Q1007" t="str">
        <f t="shared" ref="Q1007:Q1021" si="110">IF(N1007="technology/wearables","technology")</f>
        <v>technology</v>
      </c>
      <c r="R1007" t="str">
        <f t="shared" ref="R1007:R1021" si="111">IF(N1007="technology/wearables","wearables")</f>
        <v>wearables</v>
      </c>
      <c r="S1007" s="9">
        <f t="shared" si="108"/>
        <v>42276.41646990741</v>
      </c>
      <c r="T1007" s="9">
        <f t="shared" si="109"/>
        <v>42307.41646990741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06"/>
        <v>5.8500000000000003E-2</v>
      </c>
      <c r="P1008">
        <f t="shared" si="107"/>
        <v>2117</v>
      </c>
      <c r="Q1008" t="str">
        <f t="shared" si="110"/>
        <v>technology</v>
      </c>
      <c r="R1008" t="str">
        <f t="shared" si="111"/>
        <v>wearables</v>
      </c>
      <c r="S1008" s="9">
        <f t="shared" si="108"/>
        <v>41976.83185185185</v>
      </c>
      <c r="T1008" s="9">
        <f t="shared" si="109"/>
        <v>41985.09097222222</v>
      </c>
    </row>
    <row r="1009" spans="1:20" ht="29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06"/>
        <v>0.44319999999999998</v>
      </c>
      <c r="P1009">
        <f t="shared" si="107"/>
        <v>21648</v>
      </c>
      <c r="Q1009" t="str">
        <f t="shared" si="110"/>
        <v>technology</v>
      </c>
      <c r="R1009" t="str">
        <f t="shared" si="111"/>
        <v>wearables</v>
      </c>
      <c r="S1009" s="9">
        <f t="shared" si="108"/>
        <v>42676.3752662037</v>
      </c>
      <c r="T1009" s="9">
        <f t="shared" si="109"/>
        <v>42718.416932870365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06"/>
        <v>2.6737967914438501E-3</v>
      </c>
      <c r="P1010">
        <f t="shared" si="107"/>
        <v>46875</v>
      </c>
      <c r="Q1010" t="str">
        <f t="shared" si="110"/>
        <v>technology</v>
      </c>
      <c r="R1010" t="str">
        <f t="shared" si="111"/>
        <v>wearables</v>
      </c>
      <c r="S1010" s="9">
        <f t="shared" si="108"/>
        <v>42702.600868055553</v>
      </c>
      <c r="T1010" s="9">
        <f t="shared" si="109"/>
        <v>42732.600868055553</v>
      </c>
    </row>
    <row r="1011" spans="1:20" ht="43.5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06"/>
        <v>0.1313</v>
      </c>
      <c r="P1011">
        <f t="shared" si="107"/>
        <v>28282.5</v>
      </c>
      <c r="Q1011" t="str">
        <f t="shared" si="110"/>
        <v>technology</v>
      </c>
      <c r="R1011" t="str">
        <f t="shared" si="111"/>
        <v>wearables</v>
      </c>
      <c r="S1011" s="9">
        <f t="shared" si="108"/>
        <v>42510.396365740737</v>
      </c>
      <c r="T1011" s="9">
        <f t="shared" si="109"/>
        <v>42540.396365740737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06"/>
        <v>1.9088937093275488E-3</v>
      </c>
      <c r="P1012">
        <f t="shared" si="107"/>
        <v>57735</v>
      </c>
      <c r="Q1012" t="str">
        <f t="shared" si="110"/>
        <v>technology</v>
      </c>
      <c r="R1012" t="str">
        <f t="shared" si="111"/>
        <v>wearables</v>
      </c>
      <c r="S1012" s="9">
        <f t="shared" si="108"/>
        <v>42561.621087962958</v>
      </c>
      <c r="T1012" s="9">
        <f t="shared" si="109"/>
        <v>42617.915972222218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06"/>
        <v>3.7499999999999999E-3</v>
      </c>
      <c r="P1013">
        <f t="shared" si="107"/>
        <v>10037.5</v>
      </c>
      <c r="Q1013" t="str">
        <f t="shared" si="110"/>
        <v>technology</v>
      </c>
      <c r="R1013" t="str">
        <f t="shared" si="111"/>
        <v>wearables</v>
      </c>
      <c r="S1013" s="9">
        <f t="shared" si="108"/>
        <v>41946.689756944441</v>
      </c>
      <c r="T1013" s="9">
        <f t="shared" si="109"/>
        <v>41991.689756944441</v>
      </c>
    </row>
    <row r="1014" spans="1:20" ht="43.5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06"/>
        <v>215.35021</v>
      </c>
      <c r="P1014">
        <f t="shared" si="107"/>
        <v>540875.52500000002</v>
      </c>
      <c r="Q1014" t="str">
        <f t="shared" si="110"/>
        <v>technology</v>
      </c>
      <c r="R1014" t="str">
        <f t="shared" si="111"/>
        <v>wearables</v>
      </c>
      <c r="S1014" s="9">
        <f t="shared" si="108"/>
        <v>42714.232083333329</v>
      </c>
      <c r="T1014" s="9">
        <f t="shared" si="109"/>
        <v>42759.232083333329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06"/>
        <v>0.34527999999999998</v>
      </c>
      <c r="P1015">
        <f t="shared" si="107"/>
        <v>16816</v>
      </c>
      <c r="Q1015" t="str">
        <f t="shared" si="110"/>
        <v>technology</v>
      </c>
      <c r="R1015" t="str">
        <f t="shared" si="111"/>
        <v>wearables</v>
      </c>
      <c r="S1015" s="9">
        <f t="shared" si="108"/>
        <v>42339.625648148147</v>
      </c>
      <c r="T1015" s="9">
        <f t="shared" si="109"/>
        <v>42367.624999999993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06"/>
        <v>0.30599999999999999</v>
      </c>
      <c r="P1016">
        <f t="shared" si="107"/>
        <v>6530</v>
      </c>
      <c r="Q1016" t="str">
        <f t="shared" si="110"/>
        <v>technology</v>
      </c>
      <c r="R1016" t="str">
        <f t="shared" si="111"/>
        <v>wearables</v>
      </c>
      <c r="S1016" s="9">
        <f t="shared" si="108"/>
        <v>41954.79415509259</v>
      </c>
      <c r="T1016" s="9">
        <f t="shared" si="109"/>
        <v>42004.79415509259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06"/>
        <v>2.6666666666666668E-2</v>
      </c>
      <c r="P1017">
        <f t="shared" si="107"/>
        <v>4620</v>
      </c>
      <c r="Q1017" t="str">
        <f t="shared" si="110"/>
        <v>technology</v>
      </c>
      <c r="R1017" t="str">
        <f t="shared" si="111"/>
        <v>wearables</v>
      </c>
      <c r="S1017" s="9">
        <f t="shared" si="108"/>
        <v>42303.670081018521</v>
      </c>
      <c r="T1017" s="9">
        <f t="shared" si="109"/>
        <v>42333.711747685178</v>
      </c>
    </row>
    <row r="1018" spans="1:20" ht="29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06"/>
        <v>2.8420000000000001E-2</v>
      </c>
      <c r="P1018">
        <f t="shared" si="107"/>
        <v>51421</v>
      </c>
      <c r="Q1018" t="str">
        <f t="shared" si="110"/>
        <v>technology</v>
      </c>
      <c r="R1018" t="str">
        <f t="shared" si="111"/>
        <v>wearables</v>
      </c>
      <c r="S1018" s="9">
        <f t="shared" si="108"/>
        <v>42421.898796296293</v>
      </c>
      <c r="T1018" s="9">
        <f t="shared" si="109"/>
        <v>42466.857129629629</v>
      </c>
    </row>
    <row r="1019" spans="1:20" ht="43.5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06"/>
        <v>0.22878799999999999</v>
      </c>
      <c r="P1019">
        <f t="shared" si="107"/>
        <v>153598.5</v>
      </c>
      <c r="Q1019" t="str">
        <f t="shared" si="110"/>
        <v>technology</v>
      </c>
      <c r="R1019" t="str">
        <f t="shared" si="111"/>
        <v>wearables</v>
      </c>
      <c r="S1019" s="9">
        <f t="shared" si="108"/>
        <v>42289.466840277775</v>
      </c>
      <c r="T1019" s="9">
        <f t="shared" si="109"/>
        <v>42329.508506944439</v>
      </c>
    </row>
    <row r="1020" spans="1:20" ht="29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06"/>
        <v>3.1050000000000001E-2</v>
      </c>
      <c r="P1020">
        <f t="shared" si="107"/>
        <v>10310.5</v>
      </c>
      <c r="Q1020" t="str">
        <f t="shared" si="110"/>
        <v>technology</v>
      </c>
      <c r="R1020" t="str">
        <f t="shared" si="111"/>
        <v>wearables</v>
      </c>
      <c r="S1020" s="9">
        <f t="shared" si="108"/>
        <v>42535.283946759257</v>
      </c>
      <c r="T1020" s="9">
        <f t="shared" si="109"/>
        <v>42565.283946759257</v>
      </c>
    </row>
    <row r="1021" spans="1:20" ht="29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06"/>
        <v>0.47333333333333333</v>
      </c>
      <c r="P1021">
        <f t="shared" si="107"/>
        <v>33150</v>
      </c>
      <c r="Q1021" t="str">
        <f t="shared" si="110"/>
        <v>technology</v>
      </c>
      <c r="R1021" t="str">
        <f t="shared" si="111"/>
        <v>wearables</v>
      </c>
      <c r="S1021" s="9">
        <f t="shared" si="108"/>
        <v>42009.765613425923</v>
      </c>
      <c r="T1021" s="9">
        <f t="shared" si="109"/>
        <v>42039.765613425923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06"/>
        <v>2.0554838709677421</v>
      </c>
      <c r="P1022">
        <f t="shared" si="107"/>
        <v>2368</v>
      </c>
      <c r="Q1022" t="str">
        <f>IF(N1022="music/electronic music","music")</f>
        <v>music</v>
      </c>
      <c r="R1022" t="str">
        <f>IF(N1022="music/electronic music","electronic music")</f>
        <v>electronic music</v>
      </c>
      <c r="S1022" s="9">
        <f t="shared" si="108"/>
        <v>42126.861215277771</v>
      </c>
      <c r="T1022" s="9">
        <f t="shared" si="109"/>
        <v>42156.824305555558</v>
      </c>
    </row>
    <row r="1023" spans="1:20" ht="29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06"/>
        <v>3.5180366666666667</v>
      </c>
      <c r="P1023">
        <f t="shared" si="107"/>
        <v>6777.0550000000003</v>
      </c>
      <c r="Q1023" t="str">
        <f t="shared" ref="Q1023:Q1041" si="112">IF(N1023="music/electronic music","music")</f>
        <v>music</v>
      </c>
      <c r="R1023" t="str">
        <f t="shared" ref="R1023:R1041" si="113">IF(N1023="music/electronic music","electronic music")</f>
        <v>electronic music</v>
      </c>
      <c r="S1023" s="9">
        <f t="shared" si="108"/>
        <v>42271.043645833335</v>
      </c>
      <c r="T1023" s="9">
        <f t="shared" si="109"/>
        <v>42293.958333333336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06"/>
        <v>1.149</v>
      </c>
      <c r="P1024">
        <f t="shared" si="107"/>
        <v>2149</v>
      </c>
      <c r="Q1024" t="str">
        <f t="shared" si="112"/>
        <v>music</v>
      </c>
      <c r="R1024" t="str">
        <f t="shared" si="113"/>
        <v>electronic music</v>
      </c>
      <c r="S1024" s="9">
        <f t="shared" si="108"/>
        <v>42111.438391203701</v>
      </c>
      <c r="T1024" s="9">
        <f t="shared" si="109"/>
        <v>42141.438391203701</v>
      </c>
    </row>
    <row r="1025" spans="1:20" ht="29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06"/>
        <v>2.3715000000000002</v>
      </c>
      <c r="P1025">
        <f t="shared" si="107"/>
        <v>3371.5</v>
      </c>
      <c r="Q1025" t="str">
        <f t="shared" si="112"/>
        <v>music</v>
      </c>
      <c r="R1025" t="str">
        <f t="shared" si="113"/>
        <v>electronic music</v>
      </c>
      <c r="S1025" s="9">
        <f t="shared" si="108"/>
        <v>42145.711354166669</v>
      </c>
      <c r="T1025" s="9">
        <f t="shared" si="109"/>
        <v>42175.711354166669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06"/>
        <v>1.1863774999999999</v>
      </c>
      <c r="P1026">
        <f t="shared" si="107"/>
        <v>21863.775000000001</v>
      </c>
      <c r="Q1026" t="str">
        <f t="shared" si="112"/>
        <v>music</v>
      </c>
      <c r="R1026" t="str">
        <f t="shared" si="113"/>
        <v>electronic music</v>
      </c>
      <c r="S1026" s="9">
        <f t="shared" si="108"/>
        <v>42370.372256944444</v>
      </c>
      <c r="T1026" s="9">
        <f t="shared" si="109"/>
        <v>42400.372256944444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14">E1027/D1027</f>
        <v>1.099283142857143</v>
      </c>
      <c r="P1027">
        <f t="shared" ref="P1027:P1090" si="115">AVERAGE(D1027:E1027)</f>
        <v>73474.91</v>
      </c>
      <c r="Q1027" t="str">
        <f t="shared" si="112"/>
        <v>music</v>
      </c>
      <c r="R1027" t="str">
        <f t="shared" si="113"/>
        <v>electronic music</v>
      </c>
      <c r="S1027" s="9">
        <f t="shared" ref="S1027:S1090" si="116">J1027/86400+25569+(-5/24)</f>
        <v>42049.625428240739</v>
      </c>
      <c r="T1027" s="9">
        <f t="shared" si="109"/>
        <v>42079.583761574067</v>
      </c>
    </row>
    <row r="1028" spans="1:20" ht="43.5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14"/>
        <v>1.0000828571428571</v>
      </c>
      <c r="P1028">
        <f t="shared" si="115"/>
        <v>7000.29</v>
      </c>
      <c r="Q1028" t="str">
        <f t="shared" si="112"/>
        <v>music</v>
      </c>
      <c r="R1028" t="str">
        <f t="shared" si="113"/>
        <v>electronic music</v>
      </c>
      <c r="S1028" s="9">
        <f t="shared" si="116"/>
        <v>42426.199259259258</v>
      </c>
      <c r="T1028" s="9">
        <f t="shared" ref="T1028:T1091" si="117">I1028/86400+25569+(-5/24)</f>
        <v>42460.157592592594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14"/>
        <v>1.0309292094387414</v>
      </c>
      <c r="P1029">
        <f t="shared" si="115"/>
        <v>7617</v>
      </c>
      <c r="Q1029" t="str">
        <f t="shared" si="112"/>
        <v>music</v>
      </c>
      <c r="R1029" t="str">
        <f t="shared" si="113"/>
        <v>electronic music</v>
      </c>
      <c r="S1029" s="9">
        <f t="shared" si="116"/>
        <v>41904.825775462959</v>
      </c>
      <c r="T1029" s="9">
        <f t="shared" si="117"/>
        <v>41934.825775462959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14"/>
        <v>1.1727000000000001</v>
      </c>
      <c r="P1030">
        <f t="shared" si="115"/>
        <v>10863.5</v>
      </c>
      <c r="Q1030" t="str">
        <f t="shared" si="112"/>
        <v>music</v>
      </c>
      <c r="R1030" t="str">
        <f t="shared" si="113"/>
        <v>electronic music</v>
      </c>
      <c r="S1030" s="9">
        <f t="shared" si="116"/>
        <v>42755.419039351851</v>
      </c>
      <c r="T1030" s="9">
        <f t="shared" si="117"/>
        <v>42800.624999999993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14"/>
        <v>1.1175999999999999</v>
      </c>
      <c r="P1031">
        <f t="shared" si="115"/>
        <v>10588</v>
      </c>
      <c r="Q1031" t="str">
        <f t="shared" si="112"/>
        <v>music</v>
      </c>
      <c r="R1031" t="str">
        <f t="shared" si="113"/>
        <v>electronic music</v>
      </c>
      <c r="S1031" s="9">
        <f t="shared" si="116"/>
        <v>42044.503553240742</v>
      </c>
      <c r="T1031" s="9">
        <f t="shared" si="117"/>
        <v>42098.707638888889</v>
      </c>
    </row>
    <row r="1032" spans="1:20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14"/>
        <v>3.4209999999999998</v>
      </c>
      <c r="P1032">
        <f t="shared" si="115"/>
        <v>4421</v>
      </c>
      <c r="Q1032" t="str">
        <f t="shared" si="112"/>
        <v>music</v>
      </c>
      <c r="R1032" t="str">
        <f t="shared" si="113"/>
        <v>electronic music</v>
      </c>
      <c r="S1032" s="9">
        <f t="shared" si="116"/>
        <v>42611.274872685179</v>
      </c>
      <c r="T1032" s="9">
        <f t="shared" si="117"/>
        <v>42625.274872685179</v>
      </c>
    </row>
    <row r="1033" spans="1:20" ht="43.5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14"/>
        <v>1.0740000000000001</v>
      </c>
      <c r="P1033">
        <f t="shared" si="115"/>
        <v>10370</v>
      </c>
      <c r="Q1033" t="str">
        <f t="shared" si="112"/>
        <v>music</v>
      </c>
      <c r="R1033" t="str">
        <f t="shared" si="113"/>
        <v>electronic music</v>
      </c>
      <c r="S1033" s="9">
        <f t="shared" si="116"/>
        <v>42324.555671296293</v>
      </c>
      <c r="T1033" s="9">
        <f t="shared" si="117"/>
        <v>42354.555671296293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14"/>
        <v>1.0849703703703704</v>
      </c>
      <c r="P1034">
        <f t="shared" si="115"/>
        <v>5629.42</v>
      </c>
      <c r="Q1034" t="str">
        <f t="shared" si="112"/>
        <v>music</v>
      </c>
      <c r="R1034" t="str">
        <f t="shared" si="113"/>
        <v>electronic music</v>
      </c>
      <c r="S1034" s="9">
        <f t="shared" si="116"/>
        <v>42514.458622685182</v>
      </c>
      <c r="T1034" s="9">
        <f t="shared" si="117"/>
        <v>42544.458622685182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14"/>
        <v>1.0286144578313252</v>
      </c>
      <c r="P1035">
        <f t="shared" si="115"/>
        <v>1347</v>
      </c>
      <c r="Q1035" t="str">
        <f t="shared" si="112"/>
        <v>music</v>
      </c>
      <c r="R1035" t="str">
        <f t="shared" si="113"/>
        <v>electronic music</v>
      </c>
      <c r="S1035" s="9">
        <f t="shared" si="116"/>
        <v>42688.52407407407</v>
      </c>
      <c r="T1035" s="9">
        <f t="shared" si="117"/>
        <v>42716.52407407407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14"/>
        <v>1.3000180000000001</v>
      </c>
      <c r="P1036">
        <f t="shared" si="115"/>
        <v>5750.0450000000001</v>
      </c>
      <c r="Q1036" t="str">
        <f t="shared" si="112"/>
        <v>music</v>
      </c>
      <c r="R1036" t="str">
        <f t="shared" si="113"/>
        <v>electronic music</v>
      </c>
      <c r="S1036" s="9">
        <f t="shared" si="116"/>
        <v>42554.958379629628</v>
      </c>
      <c r="T1036" s="9">
        <f t="shared" si="117"/>
        <v>42586.957638888889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14"/>
        <v>1.0765217391304347</v>
      </c>
      <c r="P1037">
        <f t="shared" si="115"/>
        <v>4776</v>
      </c>
      <c r="Q1037" t="str">
        <f t="shared" si="112"/>
        <v>music</v>
      </c>
      <c r="R1037" t="str">
        <f t="shared" si="113"/>
        <v>electronic music</v>
      </c>
      <c r="S1037" s="9">
        <f t="shared" si="116"/>
        <v>42016.43310185185</v>
      </c>
      <c r="T1037" s="9">
        <f t="shared" si="117"/>
        <v>42046.43310185185</v>
      </c>
    </row>
    <row r="1038" spans="1:20" ht="29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14"/>
        <v>1.1236044444444444</v>
      </c>
      <c r="P1038">
        <f t="shared" si="115"/>
        <v>4778.1100000000006</v>
      </c>
      <c r="Q1038" t="str">
        <f t="shared" si="112"/>
        <v>music</v>
      </c>
      <c r="R1038" t="str">
        <f t="shared" si="113"/>
        <v>electronic music</v>
      </c>
      <c r="S1038" s="9">
        <f t="shared" si="116"/>
        <v>41249.240624999999</v>
      </c>
      <c r="T1038" s="9">
        <f t="shared" si="117"/>
        <v>41281.125</v>
      </c>
    </row>
    <row r="1039" spans="1:20" ht="43.5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14"/>
        <v>1.0209999999999999</v>
      </c>
      <c r="P1039">
        <f t="shared" si="115"/>
        <v>1010.5</v>
      </c>
      <c r="Q1039" t="str">
        <f t="shared" si="112"/>
        <v>music</v>
      </c>
      <c r="R1039" t="str">
        <f t="shared" si="113"/>
        <v>electronic music</v>
      </c>
      <c r="S1039" s="9">
        <f t="shared" si="116"/>
        <v>42119.61414351852</v>
      </c>
      <c r="T1039" s="9">
        <f t="shared" si="117"/>
        <v>42141.999999999993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14"/>
        <v>1.4533333333333334</v>
      </c>
      <c r="P1040">
        <f t="shared" si="115"/>
        <v>1840</v>
      </c>
      <c r="Q1040" t="str">
        <f t="shared" si="112"/>
        <v>music</v>
      </c>
      <c r="R1040" t="str">
        <f t="shared" si="113"/>
        <v>electronic music</v>
      </c>
      <c r="S1040" s="9">
        <f t="shared" si="116"/>
        <v>42418.023414351854</v>
      </c>
      <c r="T1040" s="9">
        <f t="shared" si="117"/>
        <v>42447.981747685182</v>
      </c>
    </row>
    <row r="1041" spans="1:20" ht="43.5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14"/>
        <v>1.282</v>
      </c>
      <c r="P1041">
        <f t="shared" si="115"/>
        <v>570.5</v>
      </c>
      <c r="Q1041" t="str">
        <f t="shared" si="112"/>
        <v>music</v>
      </c>
      <c r="R1041" t="str">
        <f t="shared" si="113"/>
        <v>electronic music</v>
      </c>
      <c r="S1041" s="9">
        <f t="shared" si="116"/>
        <v>42691.900995370372</v>
      </c>
      <c r="T1041" s="9">
        <f t="shared" si="117"/>
        <v>42717.124305555553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14"/>
        <v>2.9411764705882353E-3</v>
      </c>
      <c r="P1042">
        <f t="shared" si="115"/>
        <v>42625</v>
      </c>
      <c r="Q1042" t="str">
        <f>IF(N1042="journalism/audio","journalism")</f>
        <v>journalism</v>
      </c>
      <c r="R1042" t="str">
        <f>IF(N1042="journalism/audio","audio")</f>
        <v>audio</v>
      </c>
      <c r="S1042" s="9">
        <f t="shared" si="116"/>
        <v>42579.500104166662</v>
      </c>
      <c r="T1042" s="9">
        <f t="shared" si="117"/>
        <v>42609.500104166662</v>
      </c>
    </row>
    <row r="1043" spans="1:20" ht="29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14"/>
        <v>0</v>
      </c>
      <c r="P1043">
        <f t="shared" si="115"/>
        <v>25</v>
      </c>
      <c r="Q1043" t="str">
        <f t="shared" ref="Q1043:Q1065" si="118">IF(N1043="journalism/audio","journalism")</f>
        <v>journalism</v>
      </c>
      <c r="R1043" t="str">
        <f t="shared" ref="R1043:R1065" si="119">IF(N1043="journalism/audio","audio")</f>
        <v>audio</v>
      </c>
      <c r="S1043" s="9">
        <f t="shared" si="116"/>
        <v>41830.851759259254</v>
      </c>
      <c r="T1043" s="9">
        <f t="shared" si="117"/>
        <v>41850.851759259254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14"/>
        <v>1.5384615384615385E-2</v>
      </c>
      <c r="P1044">
        <f t="shared" si="115"/>
        <v>330</v>
      </c>
      <c r="Q1044" t="str">
        <f t="shared" si="118"/>
        <v>journalism</v>
      </c>
      <c r="R1044" t="str">
        <f t="shared" si="119"/>
        <v>audio</v>
      </c>
      <c r="S1044" s="9">
        <f t="shared" si="116"/>
        <v>41851.487824074073</v>
      </c>
      <c r="T1044" s="9">
        <f t="shared" si="117"/>
        <v>41894.208333333328</v>
      </c>
    </row>
    <row r="1045" spans="1:20" ht="29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14"/>
        <v>8.5370000000000001E-2</v>
      </c>
      <c r="P1045">
        <f t="shared" si="115"/>
        <v>54268.5</v>
      </c>
      <c r="Q1045" t="str">
        <f t="shared" si="118"/>
        <v>journalism</v>
      </c>
      <c r="R1045" t="str">
        <f t="shared" si="119"/>
        <v>audio</v>
      </c>
      <c r="S1045" s="9">
        <f t="shared" si="116"/>
        <v>42114.044618055552</v>
      </c>
      <c r="T1045" s="9">
        <f t="shared" si="117"/>
        <v>42144.044618055552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14"/>
        <v>8.571428571428571E-4</v>
      </c>
      <c r="P1046">
        <f t="shared" si="115"/>
        <v>3503</v>
      </c>
      <c r="Q1046" t="str">
        <f t="shared" si="118"/>
        <v>journalism</v>
      </c>
      <c r="R1046" t="str">
        <f t="shared" si="119"/>
        <v>audio</v>
      </c>
      <c r="S1046" s="9">
        <f t="shared" si="116"/>
        <v>42011.717604166661</v>
      </c>
      <c r="T1046" s="9">
        <f t="shared" si="117"/>
        <v>42068.643749999996</v>
      </c>
    </row>
    <row r="1047" spans="1:20" ht="29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14"/>
        <v>2.6599999999999999E-2</v>
      </c>
      <c r="P1047">
        <f t="shared" si="115"/>
        <v>5133</v>
      </c>
      <c r="Q1047" t="str">
        <f t="shared" si="118"/>
        <v>journalism</v>
      </c>
      <c r="R1047" t="str">
        <f t="shared" si="119"/>
        <v>audio</v>
      </c>
      <c r="S1047" s="9">
        <f t="shared" si="116"/>
        <v>41844.666087962956</v>
      </c>
      <c r="T1047" s="9">
        <f t="shared" si="117"/>
        <v>41874.666087962956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14"/>
        <v>0</v>
      </c>
      <c r="P1048">
        <f t="shared" si="115"/>
        <v>1500</v>
      </c>
      <c r="Q1048" t="str">
        <f t="shared" si="118"/>
        <v>journalism</v>
      </c>
      <c r="R1048" t="str">
        <f t="shared" si="119"/>
        <v>audio</v>
      </c>
      <c r="S1048" s="9">
        <f t="shared" si="116"/>
        <v>42319.643055555549</v>
      </c>
      <c r="T1048" s="9">
        <f t="shared" si="117"/>
        <v>42364.643055555549</v>
      </c>
    </row>
    <row r="1049" spans="1:20" ht="29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14"/>
        <v>5.0000000000000001E-4</v>
      </c>
      <c r="P1049">
        <f t="shared" si="115"/>
        <v>1000.5</v>
      </c>
      <c r="Q1049" t="str">
        <f t="shared" si="118"/>
        <v>journalism</v>
      </c>
      <c r="R1049" t="str">
        <f t="shared" si="119"/>
        <v>audio</v>
      </c>
      <c r="S1049" s="9">
        <f t="shared" si="116"/>
        <v>41918.610127314816</v>
      </c>
      <c r="T1049" s="9">
        <f t="shared" si="117"/>
        <v>41948.65179398148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14"/>
        <v>1.4133333333333333E-2</v>
      </c>
      <c r="P1050">
        <f t="shared" si="115"/>
        <v>7606</v>
      </c>
      <c r="Q1050" t="str">
        <f t="shared" si="118"/>
        <v>journalism</v>
      </c>
      <c r="R1050" t="str">
        <f t="shared" si="119"/>
        <v>audio</v>
      </c>
      <c r="S1050" s="9">
        <f t="shared" si="116"/>
        <v>42597.844780092586</v>
      </c>
      <c r="T1050" s="9">
        <f t="shared" si="117"/>
        <v>42637.844780092586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14"/>
        <v>0</v>
      </c>
      <c r="P1051">
        <f t="shared" si="115"/>
        <v>6000</v>
      </c>
      <c r="Q1051" t="str">
        <f t="shared" si="118"/>
        <v>journalism</v>
      </c>
      <c r="R1051" t="str">
        <f t="shared" si="119"/>
        <v>audio</v>
      </c>
      <c r="S1051" s="9">
        <f t="shared" si="116"/>
        <v>42382.222743055558</v>
      </c>
      <c r="T1051" s="9">
        <f t="shared" si="117"/>
        <v>42412.222743055558</v>
      </c>
    </row>
    <row r="1052" spans="1:20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14"/>
        <v>0</v>
      </c>
      <c r="P1052">
        <f t="shared" si="115"/>
        <v>1250</v>
      </c>
      <c r="Q1052" t="str">
        <f t="shared" si="118"/>
        <v>journalism</v>
      </c>
      <c r="R1052" t="str">
        <f t="shared" si="119"/>
        <v>audio</v>
      </c>
      <c r="S1052" s="9">
        <f t="shared" si="116"/>
        <v>42231.588854166665</v>
      </c>
      <c r="T1052" s="9">
        <f t="shared" si="117"/>
        <v>42261.588854166665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14"/>
        <v>0</v>
      </c>
      <c r="P1053">
        <f t="shared" si="115"/>
        <v>250</v>
      </c>
      <c r="Q1053" t="str">
        <f t="shared" si="118"/>
        <v>journalism</v>
      </c>
      <c r="R1053" t="str">
        <f t="shared" si="119"/>
        <v>audio</v>
      </c>
      <c r="S1053" s="9">
        <f t="shared" si="116"/>
        <v>41849.805844907409</v>
      </c>
      <c r="T1053" s="9">
        <f t="shared" si="117"/>
        <v>41877.805844907409</v>
      </c>
    </row>
    <row r="1054" spans="1:20" ht="43.5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14"/>
        <v>0</v>
      </c>
      <c r="P1054">
        <f t="shared" si="115"/>
        <v>2168</v>
      </c>
      <c r="Q1054" t="str">
        <f t="shared" si="118"/>
        <v>journalism</v>
      </c>
      <c r="R1054" t="str">
        <f t="shared" si="119"/>
        <v>audio</v>
      </c>
      <c r="S1054" s="9">
        <f t="shared" si="116"/>
        <v>42483.589062499996</v>
      </c>
      <c r="T1054" s="9">
        <f t="shared" si="117"/>
        <v>42527.631249999999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14"/>
        <v>0.01</v>
      </c>
      <c r="P1055">
        <f t="shared" si="115"/>
        <v>757.5</v>
      </c>
      <c r="Q1055" t="str">
        <f t="shared" si="118"/>
        <v>journalism</v>
      </c>
      <c r="R1055" t="str">
        <f t="shared" si="119"/>
        <v>audio</v>
      </c>
      <c r="S1055" s="9">
        <f t="shared" si="116"/>
        <v>42774.964490740742</v>
      </c>
      <c r="T1055" s="9">
        <f t="shared" si="117"/>
        <v>42799.964490740742</v>
      </c>
    </row>
    <row r="1056" spans="1:20" ht="43.5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14"/>
        <v>0</v>
      </c>
      <c r="P1056">
        <f t="shared" si="115"/>
        <v>1250</v>
      </c>
      <c r="Q1056" t="str">
        <f t="shared" si="118"/>
        <v>journalism</v>
      </c>
      <c r="R1056" t="str">
        <f t="shared" si="119"/>
        <v>audio</v>
      </c>
      <c r="S1056" s="9">
        <f t="shared" si="116"/>
        <v>41831.643506944441</v>
      </c>
      <c r="T1056" s="9">
        <f t="shared" si="117"/>
        <v>41861.708333333328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14"/>
        <v>0</v>
      </c>
      <c r="P1057">
        <f t="shared" si="115"/>
        <v>1750</v>
      </c>
      <c r="Q1057" t="str">
        <f t="shared" si="118"/>
        <v>journalism</v>
      </c>
      <c r="R1057" t="str">
        <f t="shared" si="119"/>
        <v>audio</v>
      </c>
      <c r="S1057" s="9">
        <f t="shared" si="116"/>
        <v>42406.784085648142</v>
      </c>
      <c r="T1057" s="9">
        <f t="shared" si="117"/>
        <v>42436.784085648142</v>
      </c>
    </row>
    <row r="1058" spans="1:20" ht="43.5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14"/>
        <v>0</v>
      </c>
      <c r="P1058">
        <f t="shared" si="115"/>
        <v>5000</v>
      </c>
      <c r="Q1058" t="str">
        <f t="shared" si="118"/>
        <v>journalism</v>
      </c>
      <c r="R1058" t="str">
        <f t="shared" si="119"/>
        <v>audio</v>
      </c>
      <c r="S1058" s="9">
        <f t="shared" si="116"/>
        <v>42058.511307870365</v>
      </c>
      <c r="T1058" s="9">
        <f t="shared" si="117"/>
        <v>42118.469641203701</v>
      </c>
    </row>
    <row r="1059" spans="1:20" ht="29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14"/>
        <v>0</v>
      </c>
      <c r="P1059">
        <f t="shared" si="115"/>
        <v>5000</v>
      </c>
      <c r="Q1059" t="str">
        <f t="shared" si="118"/>
        <v>journalism</v>
      </c>
      <c r="R1059" t="str">
        <f t="shared" si="119"/>
        <v>audio</v>
      </c>
      <c r="S1059" s="9">
        <f t="shared" si="116"/>
        <v>42678.662997685184</v>
      </c>
      <c r="T1059" s="9">
        <f t="shared" si="117"/>
        <v>42708.704664351848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14"/>
        <v>0</v>
      </c>
      <c r="P1060">
        <f t="shared" si="115"/>
        <v>20000</v>
      </c>
      <c r="Q1060" t="str">
        <f t="shared" si="118"/>
        <v>journalism</v>
      </c>
      <c r="R1060" t="str">
        <f t="shared" si="119"/>
        <v>audio</v>
      </c>
      <c r="S1060" s="9">
        <f t="shared" si="116"/>
        <v>42047.692627314813</v>
      </c>
      <c r="T1060" s="9">
        <f t="shared" si="117"/>
        <v>42088.791666666664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14"/>
        <v>0</v>
      </c>
      <c r="P1061">
        <f t="shared" si="115"/>
        <v>550</v>
      </c>
      <c r="Q1061" t="str">
        <f t="shared" si="118"/>
        <v>journalism</v>
      </c>
      <c r="R1061" t="str">
        <f t="shared" si="119"/>
        <v>audio</v>
      </c>
      <c r="S1061" s="9">
        <f t="shared" si="116"/>
        <v>42046.581666666665</v>
      </c>
      <c r="T1061" s="9">
        <f t="shared" si="117"/>
        <v>42076.54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14"/>
        <v>0.01</v>
      </c>
      <c r="P1062">
        <f t="shared" si="115"/>
        <v>2525</v>
      </c>
      <c r="Q1062" t="str">
        <f t="shared" si="118"/>
        <v>journalism</v>
      </c>
      <c r="R1062" t="str">
        <f t="shared" si="119"/>
        <v>audio</v>
      </c>
      <c r="S1062" s="9">
        <f t="shared" si="116"/>
        <v>42079.704780092587</v>
      </c>
      <c r="T1062" s="9">
        <f t="shared" si="117"/>
        <v>42109.704780092587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14"/>
        <v>0</v>
      </c>
      <c r="P1063">
        <f t="shared" si="115"/>
        <v>2000</v>
      </c>
      <c r="Q1063" t="str">
        <f t="shared" si="118"/>
        <v>journalism</v>
      </c>
      <c r="R1063" t="str">
        <f t="shared" si="119"/>
        <v>audio</v>
      </c>
      <c r="S1063" s="9">
        <f t="shared" si="116"/>
        <v>42432.068379629629</v>
      </c>
      <c r="T1063" s="9">
        <f t="shared" si="117"/>
        <v>42491.833333333336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14"/>
        <v>0.95477386934673369</v>
      </c>
      <c r="P1064">
        <f t="shared" si="115"/>
        <v>194.5</v>
      </c>
      <c r="Q1064" t="str">
        <f t="shared" si="118"/>
        <v>journalism</v>
      </c>
      <c r="R1064" t="str">
        <f t="shared" si="119"/>
        <v>audio</v>
      </c>
      <c r="S1064" s="9">
        <f t="shared" si="116"/>
        <v>42556.598854166667</v>
      </c>
      <c r="T1064" s="9">
        <f t="shared" si="117"/>
        <v>42563.598854166667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14"/>
        <v>0</v>
      </c>
      <c r="P1065">
        <f t="shared" si="115"/>
        <v>500</v>
      </c>
      <c r="Q1065" t="str">
        <f t="shared" si="118"/>
        <v>journalism</v>
      </c>
      <c r="R1065" t="str">
        <f t="shared" si="119"/>
        <v>audio</v>
      </c>
      <c r="S1065" s="9">
        <f t="shared" si="116"/>
        <v>42582.822476851848</v>
      </c>
      <c r="T1065" s="9">
        <f t="shared" si="117"/>
        <v>42612.822476851848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14"/>
        <v>8.9744444444444446E-2</v>
      </c>
      <c r="P1066">
        <f t="shared" si="115"/>
        <v>49038.5</v>
      </c>
      <c r="Q1066" t="str">
        <f>IF(N1066="games/video games","games")</f>
        <v>games</v>
      </c>
      <c r="R1066" t="str">
        <f>IF(N1066="games/video games","video games")</f>
        <v>video games</v>
      </c>
      <c r="S1066" s="9">
        <f t="shared" si="116"/>
        <v>41417.019710648143</v>
      </c>
      <c r="T1066" s="9">
        <f t="shared" si="117"/>
        <v>41462.019710648143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14"/>
        <v>2.7E-2</v>
      </c>
      <c r="P1067">
        <f t="shared" si="115"/>
        <v>1540.5</v>
      </c>
      <c r="Q1067" t="str">
        <f t="shared" ref="Q1067:Q1125" si="120">IF(N1067="games/video games","games")</f>
        <v>games</v>
      </c>
      <c r="R1067" t="str">
        <f t="shared" ref="R1067:R1125" si="121">IF(N1067="games/video games","video games")</f>
        <v>video games</v>
      </c>
      <c r="S1067" s="9">
        <f t="shared" si="116"/>
        <v>41661.172708333332</v>
      </c>
      <c r="T1067" s="9">
        <f t="shared" si="117"/>
        <v>41689.172708333332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14"/>
        <v>3.3673333333333333E-2</v>
      </c>
      <c r="P1068">
        <f t="shared" si="115"/>
        <v>77525.5</v>
      </c>
      <c r="Q1068" t="str">
        <f t="shared" si="120"/>
        <v>games</v>
      </c>
      <c r="R1068" t="str">
        <f t="shared" si="121"/>
        <v>video games</v>
      </c>
      <c r="S1068" s="9">
        <f t="shared" si="116"/>
        <v>41445.754421296289</v>
      </c>
      <c r="T1068" s="9">
        <f t="shared" si="117"/>
        <v>41490.754421296289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14"/>
        <v>0.26</v>
      </c>
      <c r="P1069">
        <f t="shared" si="115"/>
        <v>315</v>
      </c>
      <c r="Q1069" t="str">
        <f t="shared" si="120"/>
        <v>games</v>
      </c>
      <c r="R1069" t="str">
        <f t="shared" si="121"/>
        <v>video games</v>
      </c>
      <c r="S1069" s="9">
        <f t="shared" si="116"/>
        <v>41599.647349537037</v>
      </c>
      <c r="T1069" s="9">
        <f t="shared" si="117"/>
        <v>41629.647349537037</v>
      </c>
    </row>
    <row r="1070" spans="1:20" ht="43.5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14"/>
        <v>1.5E-3</v>
      </c>
      <c r="P1070">
        <f t="shared" si="115"/>
        <v>15022.5</v>
      </c>
      <c r="Q1070" t="str">
        <f t="shared" si="120"/>
        <v>games</v>
      </c>
      <c r="R1070" t="str">
        <f t="shared" si="121"/>
        <v>video games</v>
      </c>
      <c r="S1070" s="9">
        <f t="shared" si="116"/>
        <v>42440.162777777776</v>
      </c>
      <c r="T1070" s="9">
        <f t="shared" si="117"/>
        <v>42470.121111111112</v>
      </c>
    </row>
    <row r="1071" spans="1:20" ht="29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14"/>
        <v>0.38636363636363635</v>
      </c>
      <c r="P1071">
        <f t="shared" si="115"/>
        <v>1525</v>
      </c>
      <c r="Q1071" t="str">
        <f t="shared" si="120"/>
        <v>games</v>
      </c>
      <c r="R1071" t="str">
        <f t="shared" si="121"/>
        <v>video games</v>
      </c>
      <c r="S1071" s="9">
        <f t="shared" si="116"/>
        <v>41572.021516203698</v>
      </c>
      <c r="T1071" s="9">
        <f t="shared" si="117"/>
        <v>41604.06318287037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14"/>
        <v>7.0000000000000001E-3</v>
      </c>
      <c r="P1072">
        <f t="shared" si="115"/>
        <v>5035</v>
      </c>
      <c r="Q1072" t="str">
        <f t="shared" si="120"/>
        <v>games</v>
      </c>
      <c r="R1072" t="str">
        <f t="shared" si="121"/>
        <v>video games</v>
      </c>
      <c r="S1072" s="9">
        <f t="shared" si="116"/>
        <v>41162.803495370368</v>
      </c>
      <c r="T1072" s="9">
        <f t="shared" si="117"/>
        <v>41182.803495370368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14"/>
        <v>0</v>
      </c>
      <c r="P1073">
        <f t="shared" si="115"/>
        <v>50</v>
      </c>
      <c r="Q1073" t="str">
        <f t="shared" si="120"/>
        <v>games</v>
      </c>
      <c r="R1073" t="str">
        <f t="shared" si="121"/>
        <v>video games</v>
      </c>
      <c r="S1073" s="9">
        <f t="shared" si="116"/>
        <v>42295.545057870368</v>
      </c>
      <c r="T1073" s="9">
        <f t="shared" si="117"/>
        <v>42325.586724537039</v>
      </c>
    </row>
    <row r="1074" spans="1:20" ht="43.5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14"/>
        <v>6.8000000000000005E-4</v>
      </c>
      <c r="P1074">
        <f t="shared" si="115"/>
        <v>37525.5</v>
      </c>
      <c r="Q1074" t="str">
        <f t="shared" si="120"/>
        <v>games</v>
      </c>
      <c r="R1074" t="str">
        <f t="shared" si="121"/>
        <v>video games</v>
      </c>
      <c r="S1074" s="9">
        <f t="shared" si="116"/>
        <v>41645.623807870368</v>
      </c>
      <c r="T1074" s="9">
        <f t="shared" si="117"/>
        <v>41675.623807870368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14"/>
        <v>1.3333333333333334E-2</v>
      </c>
      <c r="P1075">
        <f t="shared" si="115"/>
        <v>380</v>
      </c>
      <c r="Q1075" t="str">
        <f t="shared" si="120"/>
        <v>games</v>
      </c>
      <c r="R1075" t="str">
        <f t="shared" si="121"/>
        <v>video games</v>
      </c>
      <c r="S1075" s="9">
        <f t="shared" si="116"/>
        <v>40802.756261574068</v>
      </c>
      <c r="T1075" s="9">
        <f t="shared" si="117"/>
        <v>40832.756261574068</v>
      </c>
    </row>
    <row r="1076" spans="1:20" ht="43.5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14"/>
        <v>6.3092592592592589E-2</v>
      </c>
      <c r="P1076">
        <f t="shared" si="115"/>
        <v>28703.5</v>
      </c>
      <c r="Q1076" t="str">
        <f t="shared" si="120"/>
        <v>games</v>
      </c>
      <c r="R1076" t="str">
        <f t="shared" si="121"/>
        <v>video games</v>
      </c>
      <c r="S1076" s="9">
        <f t="shared" si="116"/>
        <v>41612.964641203704</v>
      </c>
      <c r="T1076" s="9">
        <f t="shared" si="117"/>
        <v>41642.964641203704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14"/>
        <v>4.4999999999999998E-2</v>
      </c>
      <c r="P1077">
        <f t="shared" si="115"/>
        <v>522.5</v>
      </c>
      <c r="Q1077" t="str">
        <f t="shared" si="120"/>
        <v>games</v>
      </c>
      <c r="R1077" t="str">
        <f t="shared" si="121"/>
        <v>video games</v>
      </c>
      <c r="S1077" s="9">
        <f t="shared" si="116"/>
        <v>41005.695787037032</v>
      </c>
      <c r="T1077" s="9">
        <f t="shared" si="117"/>
        <v>41035.695787037032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14"/>
        <v>0.62765333333333329</v>
      </c>
      <c r="P1078">
        <f t="shared" si="115"/>
        <v>61037</v>
      </c>
      <c r="Q1078" t="str">
        <f t="shared" si="120"/>
        <v>games</v>
      </c>
      <c r="R1078" t="str">
        <f t="shared" si="121"/>
        <v>video games</v>
      </c>
      <c r="S1078" s="9">
        <f t="shared" si="116"/>
        <v>41838.169560185182</v>
      </c>
      <c r="T1078" s="9">
        <f t="shared" si="117"/>
        <v>41893.169560185182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14"/>
        <v>0.29376000000000002</v>
      </c>
      <c r="P1079">
        <f t="shared" si="115"/>
        <v>16172</v>
      </c>
      <c r="Q1079" t="str">
        <f t="shared" si="120"/>
        <v>games</v>
      </c>
      <c r="R1079" t="str">
        <f t="shared" si="121"/>
        <v>video games</v>
      </c>
      <c r="S1079" s="9">
        <f t="shared" si="116"/>
        <v>42352.958460648144</v>
      </c>
      <c r="T1079" s="9">
        <f t="shared" si="117"/>
        <v>42382.958460648144</v>
      </c>
    </row>
    <row r="1080" spans="1:20" ht="43.5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14"/>
        <v>7.4999999999999997E-2</v>
      </c>
      <c r="P1080">
        <f t="shared" si="115"/>
        <v>322.5</v>
      </c>
      <c r="Q1080" t="str">
        <f t="shared" si="120"/>
        <v>games</v>
      </c>
      <c r="R1080" t="str">
        <f t="shared" si="121"/>
        <v>video games</v>
      </c>
      <c r="S1080" s="9">
        <f t="shared" si="116"/>
        <v>40700.987511574072</v>
      </c>
      <c r="T1080" s="9">
        <f t="shared" si="117"/>
        <v>40745.987511574072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14"/>
        <v>2.6076923076923077E-2</v>
      </c>
      <c r="P1081">
        <f t="shared" si="115"/>
        <v>13339</v>
      </c>
      <c r="Q1081" t="str">
        <f t="shared" si="120"/>
        <v>games</v>
      </c>
      <c r="R1081" t="str">
        <f t="shared" si="121"/>
        <v>video games</v>
      </c>
      <c r="S1081" s="9">
        <f t="shared" si="116"/>
        <v>42479.358055555553</v>
      </c>
      <c r="T1081" s="9">
        <f t="shared" si="117"/>
        <v>42504.358055555553</v>
      </c>
    </row>
    <row r="1082" spans="1:20" ht="29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14"/>
        <v>9.1050000000000006E-2</v>
      </c>
      <c r="P1082">
        <f t="shared" si="115"/>
        <v>10910.5</v>
      </c>
      <c r="Q1082" t="str">
        <f t="shared" si="120"/>
        <v>games</v>
      </c>
      <c r="R1082" t="str">
        <f t="shared" si="121"/>
        <v>video games</v>
      </c>
      <c r="S1082" s="9">
        <f t="shared" si="116"/>
        <v>41739.929780092592</v>
      </c>
      <c r="T1082" s="9">
        <f t="shared" si="117"/>
        <v>41769.929780092592</v>
      </c>
    </row>
    <row r="1083" spans="1:20" ht="29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14"/>
        <v>1.7647058823529413E-4</v>
      </c>
      <c r="P1083">
        <f t="shared" si="115"/>
        <v>34006</v>
      </c>
      <c r="Q1083" t="str">
        <f t="shared" si="120"/>
        <v>games</v>
      </c>
      <c r="R1083" t="str">
        <f t="shared" si="121"/>
        <v>video games</v>
      </c>
      <c r="S1083" s="9">
        <f t="shared" si="116"/>
        <v>42002.718657407408</v>
      </c>
      <c r="T1083" s="9">
        <f t="shared" si="117"/>
        <v>42032.718657407408</v>
      </c>
    </row>
    <row r="1084" spans="1:20" ht="29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14"/>
        <v>5.5999999999999999E-3</v>
      </c>
      <c r="P1084">
        <f t="shared" si="115"/>
        <v>5028</v>
      </c>
      <c r="Q1084" t="str">
        <f t="shared" si="120"/>
        <v>games</v>
      </c>
      <c r="R1084" t="str">
        <f t="shared" si="121"/>
        <v>video games</v>
      </c>
      <c r="S1084" s="9">
        <f t="shared" si="116"/>
        <v>41101.697777777772</v>
      </c>
      <c r="T1084" s="9">
        <f t="shared" si="117"/>
        <v>41131.697777777772</v>
      </c>
    </row>
    <row r="1085" spans="1:20" ht="43.5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14"/>
        <v>8.2000000000000007E-3</v>
      </c>
      <c r="P1085">
        <f t="shared" si="115"/>
        <v>25205</v>
      </c>
      <c r="Q1085" t="str">
        <f t="shared" si="120"/>
        <v>games</v>
      </c>
      <c r="R1085" t="str">
        <f t="shared" si="121"/>
        <v>video games</v>
      </c>
      <c r="S1085" s="9">
        <f t="shared" si="116"/>
        <v>41793.451192129629</v>
      </c>
      <c r="T1085" s="9">
        <f t="shared" si="117"/>
        <v>41853.451192129629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14"/>
        <v>0</v>
      </c>
      <c r="P1086">
        <f t="shared" si="115"/>
        <v>275</v>
      </c>
      <c r="Q1086" t="str">
        <f t="shared" si="120"/>
        <v>games</v>
      </c>
      <c r="R1086" t="str">
        <f t="shared" si="121"/>
        <v>video games</v>
      </c>
      <c r="S1086" s="9">
        <f t="shared" si="116"/>
        <v>41829.703749999993</v>
      </c>
      <c r="T1086" s="9">
        <f t="shared" si="117"/>
        <v>41859.703749999993</v>
      </c>
    </row>
    <row r="1087" spans="1:20" ht="29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14"/>
        <v>3.4200000000000001E-2</v>
      </c>
      <c r="P1087">
        <f t="shared" si="115"/>
        <v>15513</v>
      </c>
      <c r="Q1087" t="str">
        <f t="shared" si="120"/>
        <v>games</v>
      </c>
      <c r="R1087" t="str">
        <f t="shared" si="121"/>
        <v>video games</v>
      </c>
      <c r="S1087" s="9">
        <f t="shared" si="116"/>
        <v>42413.462673611109</v>
      </c>
      <c r="T1087" s="9">
        <f t="shared" si="117"/>
        <v>42443.421006944445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14"/>
        <v>8.3333333333333339E-4</v>
      </c>
      <c r="P1088">
        <f t="shared" si="115"/>
        <v>9007.5</v>
      </c>
      <c r="Q1088" t="str">
        <f t="shared" si="120"/>
        <v>games</v>
      </c>
      <c r="R1088" t="str">
        <f t="shared" si="121"/>
        <v>video games</v>
      </c>
      <c r="S1088" s="9">
        <f t="shared" si="116"/>
        <v>41845.658460648148</v>
      </c>
      <c r="T1088" s="9">
        <f t="shared" si="117"/>
        <v>41875.658460648148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14"/>
        <v>0</v>
      </c>
      <c r="P1089">
        <f t="shared" si="115"/>
        <v>550</v>
      </c>
      <c r="Q1089" t="str">
        <f t="shared" si="120"/>
        <v>games</v>
      </c>
      <c r="R1089" t="str">
        <f t="shared" si="121"/>
        <v>video games</v>
      </c>
      <c r="S1089" s="9">
        <f t="shared" si="116"/>
        <v>41775.505636574067</v>
      </c>
      <c r="T1089" s="9">
        <f t="shared" si="117"/>
        <v>41805.505636574067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14"/>
        <v>0.14182977777777778</v>
      </c>
      <c r="P1090">
        <f t="shared" si="115"/>
        <v>25691.17</v>
      </c>
      <c r="Q1090" t="str">
        <f t="shared" si="120"/>
        <v>games</v>
      </c>
      <c r="R1090" t="str">
        <f t="shared" si="121"/>
        <v>video games</v>
      </c>
      <c r="S1090" s="9">
        <f t="shared" si="116"/>
        <v>41723.591053240736</v>
      </c>
      <c r="T1090" s="9">
        <f t="shared" si="117"/>
        <v>41753.591053240736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22">E1091/D1091</f>
        <v>7.8266666666666665E-2</v>
      </c>
      <c r="P1091">
        <f t="shared" ref="P1091:P1154" si="123">AVERAGE(D1091:E1091)</f>
        <v>8087</v>
      </c>
      <c r="Q1091" t="str">
        <f t="shared" si="120"/>
        <v>games</v>
      </c>
      <c r="R1091" t="str">
        <f t="shared" si="121"/>
        <v>video games</v>
      </c>
      <c r="S1091" s="9">
        <f t="shared" ref="S1091:S1154" si="124">J1091/86400+25569+(-5/24)</f>
        <v>42150.981192129628</v>
      </c>
      <c r="T1091" s="9">
        <f t="shared" si="117"/>
        <v>42180.981192129628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22"/>
        <v>3.8464497269020693E-4</v>
      </c>
      <c r="P1092">
        <f t="shared" si="123"/>
        <v>6502</v>
      </c>
      <c r="Q1092" t="str">
        <f t="shared" si="120"/>
        <v>games</v>
      </c>
      <c r="R1092" t="str">
        <f t="shared" si="121"/>
        <v>video games</v>
      </c>
      <c r="S1092" s="9">
        <f t="shared" si="124"/>
        <v>42122.977465277778</v>
      </c>
      <c r="T1092" s="9">
        <f t="shared" ref="T1092:T1155" si="125">I1092/86400+25569+(-5/24)</f>
        <v>42152.977465277778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22"/>
        <v>0.125</v>
      </c>
      <c r="P1093">
        <f t="shared" si="123"/>
        <v>112.5</v>
      </c>
      <c r="Q1093" t="str">
        <f t="shared" si="120"/>
        <v>games</v>
      </c>
      <c r="R1093" t="str">
        <f t="shared" si="121"/>
        <v>video games</v>
      </c>
      <c r="S1093" s="9">
        <f t="shared" si="124"/>
        <v>42440.611944444441</v>
      </c>
      <c r="T1093" s="9">
        <f t="shared" si="125"/>
        <v>42470.570277777777</v>
      </c>
    </row>
    <row r="1094" spans="1:20" ht="43.5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22"/>
        <v>1.0500000000000001E-2</v>
      </c>
      <c r="P1094">
        <f t="shared" si="123"/>
        <v>1010.5</v>
      </c>
      <c r="Q1094" t="str">
        <f t="shared" si="120"/>
        <v>games</v>
      </c>
      <c r="R1094" t="str">
        <f t="shared" si="121"/>
        <v>video games</v>
      </c>
      <c r="S1094" s="9">
        <f t="shared" si="124"/>
        <v>41249.817569444444</v>
      </c>
      <c r="T1094" s="9">
        <f t="shared" si="125"/>
        <v>41279.817569444444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22"/>
        <v>0.14083333333333334</v>
      </c>
      <c r="P1095">
        <f t="shared" si="123"/>
        <v>171.125</v>
      </c>
      <c r="Q1095" t="str">
        <f t="shared" si="120"/>
        <v>games</v>
      </c>
      <c r="R1095" t="str">
        <f t="shared" si="121"/>
        <v>video games</v>
      </c>
      <c r="S1095" s="9">
        <f t="shared" si="124"/>
        <v>42396.765474537031</v>
      </c>
      <c r="T1095" s="9">
        <f t="shared" si="125"/>
        <v>42411.765474537031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22"/>
        <v>0.18300055555555556</v>
      </c>
      <c r="P1096">
        <f t="shared" si="123"/>
        <v>10647.005000000001</v>
      </c>
      <c r="Q1096" t="str">
        <f t="shared" si="120"/>
        <v>games</v>
      </c>
      <c r="R1096" t="str">
        <f t="shared" si="121"/>
        <v>video games</v>
      </c>
      <c r="S1096" s="9">
        <f t="shared" si="124"/>
        <v>40795.505011574074</v>
      </c>
      <c r="T1096" s="9">
        <f t="shared" si="125"/>
        <v>40825.505011574074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22"/>
        <v>5.0347999999999997E-2</v>
      </c>
      <c r="P1097">
        <f t="shared" si="123"/>
        <v>262587</v>
      </c>
      <c r="Q1097" t="str">
        <f t="shared" si="120"/>
        <v>games</v>
      </c>
      <c r="R1097" t="str">
        <f t="shared" si="121"/>
        <v>video games</v>
      </c>
      <c r="S1097" s="9">
        <f t="shared" si="124"/>
        <v>41486.328935185185</v>
      </c>
      <c r="T1097" s="9">
        <f t="shared" si="125"/>
        <v>41516.328935185185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22"/>
        <v>0.17933333333333334</v>
      </c>
      <c r="P1098">
        <f t="shared" si="123"/>
        <v>7076</v>
      </c>
      <c r="Q1098" t="str">
        <f t="shared" si="120"/>
        <v>games</v>
      </c>
      <c r="R1098" t="str">
        <f t="shared" si="121"/>
        <v>video games</v>
      </c>
      <c r="S1098" s="9">
        <f t="shared" si="124"/>
        <v>41885.309652777774</v>
      </c>
      <c r="T1098" s="9">
        <f t="shared" si="125"/>
        <v>41915.9375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22"/>
        <v>4.6999999999999999E-4</v>
      </c>
      <c r="P1099">
        <f t="shared" si="123"/>
        <v>50023.5</v>
      </c>
      <c r="Q1099" t="str">
        <f t="shared" si="120"/>
        <v>games</v>
      </c>
      <c r="R1099" t="str">
        <f t="shared" si="121"/>
        <v>video games</v>
      </c>
      <c r="S1099" s="9">
        <f t="shared" si="124"/>
        <v>41660.584224537037</v>
      </c>
      <c r="T1099" s="9">
        <f t="shared" si="125"/>
        <v>41700.584224537037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22"/>
        <v>7.2120000000000004E-2</v>
      </c>
      <c r="P1100">
        <f t="shared" si="123"/>
        <v>13401.5</v>
      </c>
      <c r="Q1100" t="str">
        <f t="shared" si="120"/>
        <v>games</v>
      </c>
      <c r="R1100" t="str">
        <f t="shared" si="121"/>
        <v>video games</v>
      </c>
      <c r="S1100" s="9">
        <f t="shared" si="124"/>
        <v>41712.554340277777</v>
      </c>
      <c r="T1100" s="9">
        <f t="shared" si="125"/>
        <v>41742.554340277777</v>
      </c>
    </row>
    <row r="1101" spans="1:20" ht="43.5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22"/>
        <v>5.0000000000000001E-3</v>
      </c>
      <c r="P1101">
        <f t="shared" si="123"/>
        <v>2512.5</v>
      </c>
      <c r="Q1101" t="str">
        <f t="shared" si="120"/>
        <v>games</v>
      </c>
      <c r="R1101" t="str">
        <f t="shared" si="121"/>
        <v>video games</v>
      </c>
      <c r="S1101" s="9">
        <f t="shared" si="124"/>
        <v>42107.628101851849</v>
      </c>
      <c r="T1101" s="9">
        <f t="shared" si="125"/>
        <v>42137.628101851849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22"/>
        <v>2.5000000000000001E-2</v>
      </c>
      <c r="P1102">
        <f t="shared" si="123"/>
        <v>2050</v>
      </c>
      <c r="Q1102" t="str">
        <f t="shared" si="120"/>
        <v>games</v>
      </c>
      <c r="R1102" t="str">
        <f t="shared" si="121"/>
        <v>video games</v>
      </c>
      <c r="S1102" s="9">
        <f t="shared" si="124"/>
        <v>42383.902442129627</v>
      </c>
      <c r="T1102" s="9">
        <f t="shared" si="125"/>
        <v>42413.902442129627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22"/>
        <v>4.0999999999999999E-4</v>
      </c>
      <c r="P1103">
        <f t="shared" si="123"/>
        <v>50020.5</v>
      </c>
      <c r="Q1103" t="str">
        <f t="shared" si="120"/>
        <v>games</v>
      </c>
      <c r="R1103" t="str">
        <f t="shared" si="121"/>
        <v>video games</v>
      </c>
      <c r="S1103" s="9">
        <f t="shared" si="124"/>
        <v>42538.564097222225</v>
      </c>
      <c r="T1103" s="9">
        <f t="shared" si="125"/>
        <v>42565.549999999996</v>
      </c>
    </row>
    <row r="1104" spans="1:20" ht="43.5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22"/>
        <v>5.3124999999999999E-2</v>
      </c>
      <c r="P1104">
        <f t="shared" si="123"/>
        <v>4212.5</v>
      </c>
      <c r="Q1104" t="str">
        <f t="shared" si="120"/>
        <v>games</v>
      </c>
      <c r="R1104" t="str">
        <f t="shared" si="121"/>
        <v>video games</v>
      </c>
      <c r="S1104" s="9">
        <f t="shared" si="124"/>
        <v>41576.837094907409</v>
      </c>
      <c r="T1104" s="9">
        <f t="shared" si="125"/>
        <v>41617.040972222218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22"/>
        <v>1.6199999999999999E-2</v>
      </c>
      <c r="P1105">
        <f t="shared" si="123"/>
        <v>7621.5</v>
      </c>
      <c r="Q1105" t="str">
        <f t="shared" si="120"/>
        <v>games</v>
      </c>
      <c r="R1105" t="str">
        <f t="shared" si="121"/>
        <v>video games</v>
      </c>
      <c r="S1105" s="9">
        <f t="shared" si="124"/>
        <v>42479.013773148145</v>
      </c>
      <c r="T1105" s="9">
        <f t="shared" si="125"/>
        <v>42539.013773148145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22"/>
        <v>4.9516666666666667E-2</v>
      </c>
      <c r="P1106">
        <f t="shared" si="123"/>
        <v>31485.5</v>
      </c>
      <c r="Q1106" t="str">
        <f t="shared" si="120"/>
        <v>games</v>
      </c>
      <c r="R1106" t="str">
        <f t="shared" si="121"/>
        <v>video games</v>
      </c>
      <c r="S1106" s="9">
        <f t="shared" si="124"/>
        <v>41771.201631944445</v>
      </c>
      <c r="T1106" s="9">
        <f t="shared" si="125"/>
        <v>41801.201631944445</v>
      </c>
    </row>
    <row r="1107" spans="1:20" ht="43.5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22"/>
        <v>1.5900000000000001E-3</v>
      </c>
      <c r="P1107">
        <f t="shared" si="123"/>
        <v>450715.5</v>
      </c>
      <c r="Q1107" t="str">
        <f t="shared" si="120"/>
        <v>games</v>
      </c>
      <c r="R1107" t="str">
        <f t="shared" si="121"/>
        <v>video games</v>
      </c>
      <c r="S1107" s="9">
        <f t="shared" si="124"/>
        <v>41691.927395833329</v>
      </c>
      <c r="T1107" s="9">
        <f t="shared" si="125"/>
        <v>41721.885729166665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22"/>
        <v>0.41249999999999998</v>
      </c>
      <c r="P1108">
        <f t="shared" si="123"/>
        <v>282.5</v>
      </c>
      <c r="Q1108" t="str">
        <f t="shared" si="120"/>
        <v>games</v>
      </c>
      <c r="R1108" t="str">
        <f t="shared" si="121"/>
        <v>video games</v>
      </c>
      <c r="S1108" s="9">
        <f t="shared" si="124"/>
        <v>40973.532118055555</v>
      </c>
      <c r="T1108" s="9">
        <f t="shared" si="125"/>
        <v>41003.490451388883</v>
      </c>
    </row>
    <row r="1109" spans="1:20" ht="43.5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22"/>
        <v>0</v>
      </c>
      <c r="P1109">
        <f t="shared" si="123"/>
        <v>5000</v>
      </c>
      <c r="Q1109" t="str">
        <f t="shared" si="120"/>
        <v>games</v>
      </c>
      <c r="R1109" t="str">
        <f t="shared" si="121"/>
        <v>video games</v>
      </c>
      <c r="S1109" s="9">
        <f t="shared" si="124"/>
        <v>41813.653055555551</v>
      </c>
      <c r="T1109" s="9">
        <f t="shared" si="125"/>
        <v>41843.653055555551</v>
      </c>
    </row>
    <row r="1110" spans="1:20" ht="43.5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22"/>
        <v>2.93E-2</v>
      </c>
      <c r="P1110">
        <f t="shared" si="123"/>
        <v>12866.25</v>
      </c>
      <c r="Q1110" t="str">
        <f t="shared" si="120"/>
        <v>games</v>
      </c>
      <c r="R1110" t="str">
        <f t="shared" si="121"/>
        <v>video games</v>
      </c>
      <c r="S1110" s="9">
        <f t="shared" si="124"/>
        <v>40952.42864583333</v>
      </c>
      <c r="T1110" s="9">
        <f t="shared" si="125"/>
        <v>41012.386979166666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22"/>
        <v>4.4999999999999997E-3</v>
      </c>
      <c r="P1111">
        <f t="shared" si="123"/>
        <v>5022.5</v>
      </c>
      <c r="Q1111" t="str">
        <f t="shared" si="120"/>
        <v>games</v>
      </c>
      <c r="R1111" t="str">
        <f t="shared" si="121"/>
        <v>video games</v>
      </c>
      <c r="S1111" s="9">
        <f t="shared" si="124"/>
        <v>42662.543865740743</v>
      </c>
      <c r="T1111" s="9">
        <f t="shared" si="125"/>
        <v>42692.5855324074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22"/>
        <v>5.1000000000000004E-3</v>
      </c>
      <c r="P1112">
        <f t="shared" si="123"/>
        <v>25127.5</v>
      </c>
      <c r="Q1112" t="str">
        <f t="shared" si="120"/>
        <v>games</v>
      </c>
      <c r="R1112" t="str">
        <f t="shared" si="121"/>
        <v>video games</v>
      </c>
      <c r="S1112" s="9">
        <f t="shared" si="124"/>
        <v>41220.72479166666</v>
      </c>
      <c r="T1112" s="9">
        <f t="shared" si="125"/>
        <v>41250.72479166666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22"/>
        <v>4.0000000000000002E-4</v>
      </c>
      <c r="P1113">
        <f t="shared" si="123"/>
        <v>1250.5</v>
      </c>
      <c r="Q1113" t="str">
        <f t="shared" si="120"/>
        <v>games</v>
      </c>
      <c r="R1113" t="str">
        <f t="shared" si="121"/>
        <v>video games</v>
      </c>
      <c r="S1113" s="9">
        <f t="shared" si="124"/>
        <v>42346.995254629626</v>
      </c>
      <c r="T1113" s="9">
        <f t="shared" si="125"/>
        <v>42376.995254629626</v>
      </c>
    </row>
    <row r="1114" spans="1:20" ht="29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22"/>
        <v>0.35537409090909089</v>
      </c>
      <c r="P1114">
        <f t="shared" si="123"/>
        <v>59636.46</v>
      </c>
      <c r="Q1114" t="str">
        <f t="shared" si="120"/>
        <v>games</v>
      </c>
      <c r="R1114" t="str">
        <f t="shared" si="121"/>
        <v>video games</v>
      </c>
      <c r="S1114" s="9">
        <f t="shared" si="124"/>
        <v>41963.551053240742</v>
      </c>
      <c r="T1114" s="9">
        <f t="shared" si="125"/>
        <v>42023.145833333336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22"/>
        <v>5.0000000000000001E-3</v>
      </c>
      <c r="P1115">
        <f t="shared" si="123"/>
        <v>502.5</v>
      </c>
      <c r="Q1115" t="str">
        <f t="shared" si="120"/>
        <v>games</v>
      </c>
      <c r="R1115" t="str">
        <f t="shared" si="121"/>
        <v>video games</v>
      </c>
      <c r="S1115" s="9">
        <f t="shared" si="124"/>
        <v>41835.768749999996</v>
      </c>
      <c r="T1115" s="9">
        <f t="shared" si="125"/>
        <v>41865.768749999996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22"/>
        <v>1.6666666666666668E-3</v>
      </c>
      <c r="P1116">
        <f t="shared" si="123"/>
        <v>3005</v>
      </c>
      <c r="Q1116" t="str">
        <f t="shared" si="120"/>
        <v>games</v>
      </c>
      <c r="R1116" t="str">
        <f t="shared" si="121"/>
        <v>video games</v>
      </c>
      <c r="S1116" s="9">
        <f t="shared" si="124"/>
        <v>41526.13758101852</v>
      </c>
      <c r="T1116" s="9">
        <f t="shared" si="125"/>
        <v>41556.13758101852</v>
      </c>
    </row>
    <row r="1117" spans="1:20" ht="43.5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22"/>
        <v>1.325E-3</v>
      </c>
      <c r="P1117">
        <f t="shared" si="123"/>
        <v>20026.5</v>
      </c>
      <c r="Q1117" t="str">
        <f t="shared" si="120"/>
        <v>games</v>
      </c>
      <c r="R1117" t="str">
        <f t="shared" si="121"/>
        <v>video games</v>
      </c>
      <c r="S1117" s="9">
        <f t="shared" si="124"/>
        <v>42429.487210648142</v>
      </c>
      <c r="T1117" s="9">
        <f t="shared" si="125"/>
        <v>42459.445543981477</v>
      </c>
    </row>
    <row r="1118" spans="1:20" ht="29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22"/>
        <v>3.5704000000000004E-4</v>
      </c>
      <c r="P1118">
        <f t="shared" si="123"/>
        <v>250089.26</v>
      </c>
      <c r="Q1118" t="str">
        <f t="shared" si="120"/>
        <v>games</v>
      </c>
      <c r="R1118" t="str">
        <f t="shared" si="121"/>
        <v>video games</v>
      </c>
      <c r="S1118" s="9">
        <f t="shared" si="124"/>
        <v>41009.638981481483</v>
      </c>
      <c r="T1118" s="9">
        <f t="shared" si="125"/>
        <v>41069.638981481483</v>
      </c>
    </row>
    <row r="1119" spans="1:20" ht="29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22"/>
        <v>8.3000000000000004E-2</v>
      </c>
      <c r="P1119">
        <f t="shared" si="123"/>
        <v>541.5</v>
      </c>
      <c r="Q1119" t="str">
        <f t="shared" si="120"/>
        <v>games</v>
      </c>
      <c r="R1119" t="str">
        <f t="shared" si="121"/>
        <v>video games</v>
      </c>
      <c r="S1119" s="9">
        <f t="shared" si="124"/>
        <v>42333.390196759261</v>
      </c>
      <c r="T1119" s="9">
        <f t="shared" si="125"/>
        <v>42363.390196759261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22"/>
        <v>2.4222222222222221E-2</v>
      </c>
      <c r="P1120">
        <f t="shared" si="123"/>
        <v>2304.5</v>
      </c>
      <c r="Q1120" t="str">
        <f t="shared" si="120"/>
        <v>games</v>
      </c>
      <c r="R1120" t="str">
        <f t="shared" si="121"/>
        <v>video games</v>
      </c>
      <c r="S1120" s="9">
        <f t="shared" si="124"/>
        <v>41703.958090277774</v>
      </c>
      <c r="T1120" s="9">
        <f t="shared" si="125"/>
        <v>41733.91642361111</v>
      </c>
    </row>
    <row r="1121" spans="1:20" ht="43.5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22"/>
        <v>2.3809523809523812E-3</v>
      </c>
      <c r="P1121">
        <f t="shared" si="123"/>
        <v>1052.5</v>
      </c>
      <c r="Q1121" t="str">
        <f t="shared" si="120"/>
        <v>games</v>
      </c>
      <c r="R1121" t="str">
        <f t="shared" si="121"/>
        <v>video games</v>
      </c>
      <c r="S1121" s="9">
        <f t="shared" si="124"/>
        <v>41722.584074074075</v>
      </c>
      <c r="T1121" s="9">
        <f t="shared" si="125"/>
        <v>41735.584074074075</v>
      </c>
    </row>
    <row r="1122" spans="1:20" ht="29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22"/>
        <v>0</v>
      </c>
      <c r="P1122">
        <f t="shared" si="123"/>
        <v>12500</v>
      </c>
      <c r="Q1122" t="str">
        <f t="shared" si="120"/>
        <v>games</v>
      </c>
      <c r="R1122" t="str">
        <f t="shared" si="121"/>
        <v>video games</v>
      </c>
      <c r="S1122" s="9">
        <f t="shared" si="124"/>
        <v>40799.664351851847</v>
      </c>
      <c r="T1122" s="9">
        <f t="shared" si="125"/>
        <v>40844.664351851847</v>
      </c>
    </row>
    <row r="1123" spans="1:20" ht="29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22"/>
        <v>1.16E-4</v>
      </c>
      <c r="P1123">
        <f t="shared" si="123"/>
        <v>125014.5</v>
      </c>
      <c r="Q1123" t="str">
        <f t="shared" si="120"/>
        <v>games</v>
      </c>
      <c r="R1123" t="str">
        <f t="shared" si="121"/>
        <v>video games</v>
      </c>
      <c r="S1123" s="9">
        <f t="shared" si="124"/>
        <v>42412.72587962963</v>
      </c>
      <c r="T1123" s="9">
        <f t="shared" si="125"/>
        <v>42442.684212962959</v>
      </c>
    </row>
    <row r="1124" spans="1:20" ht="43.5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22"/>
        <v>0</v>
      </c>
      <c r="P1124">
        <f t="shared" si="123"/>
        <v>1600</v>
      </c>
      <c r="Q1124" t="str">
        <f t="shared" si="120"/>
        <v>games</v>
      </c>
      <c r="R1124" t="str">
        <f t="shared" si="121"/>
        <v>video games</v>
      </c>
      <c r="S1124" s="9">
        <f t="shared" si="124"/>
        <v>41410.495659722219</v>
      </c>
      <c r="T1124" s="9">
        <f t="shared" si="125"/>
        <v>41424.495659722219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22"/>
        <v>2.2000000000000001E-3</v>
      </c>
      <c r="P1125">
        <f t="shared" si="123"/>
        <v>2505.5</v>
      </c>
      <c r="Q1125" t="str">
        <f t="shared" si="120"/>
        <v>games</v>
      </c>
      <c r="R1125" t="str">
        <f t="shared" si="121"/>
        <v>video games</v>
      </c>
      <c r="S1125" s="9">
        <f t="shared" si="124"/>
        <v>41718.315370370365</v>
      </c>
      <c r="T1125" s="9">
        <f t="shared" si="125"/>
        <v>41748.315370370365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22"/>
        <v>4.7222222222222223E-3</v>
      </c>
      <c r="P1126">
        <f t="shared" si="123"/>
        <v>45212.5</v>
      </c>
      <c r="Q1126" t="str">
        <f>IF(N1126="games/mobile games","games")</f>
        <v>games</v>
      </c>
      <c r="R1126" t="str">
        <f>IF(N1126="games/mobile games","mobile games")</f>
        <v>mobile games</v>
      </c>
      <c r="S1126" s="9">
        <f t="shared" si="124"/>
        <v>42094.458923611113</v>
      </c>
      <c r="T1126" s="9">
        <f t="shared" si="125"/>
        <v>42124.458923611113</v>
      </c>
    </row>
    <row r="1127" spans="1:20" ht="43.5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22"/>
        <v>0</v>
      </c>
      <c r="P1127">
        <f t="shared" si="123"/>
        <v>1500</v>
      </c>
      <c r="Q1127" t="str">
        <f>IF(N1127="games/mobile games","games")</f>
        <v>games</v>
      </c>
      <c r="R1127" t="str">
        <f>IF(N1127="games/mobile games","mobile games")</f>
        <v>mobile games</v>
      </c>
      <c r="S1127" s="9">
        <f t="shared" si="124"/>
        <v>42212.415856481479</v>
      </c>
      <c r="T1127" s="9">
        <f t="shared" si="125"/>
        <v>42272.415856481479</v>
      </c>
    </row>
    <row r="1128" spans="1:20" ht="29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22"/>
        <v>5.0000000000000001E-3</v>
      </c>
      <c r="P1128">
        <f t="shared" si="123"/>
        <v>1005</v>
      </c>
      <c r="Q1128" t="str">
        <f t="shared" ref="Q1128:Q1145" si="126">IF(N1128="games/mobile games","games")</f>
        <v>games</v>
      </c>
      <c r="R1128" t="str">
        <f t="shared" ref="R1128:R1145" si="127">IF(N1128="games/mobile games","mobile games")</f>
        <v>mobile games</v>
      </c>
      <c r="S1128" s="9">
        <f t="shared" si="124"/>
        <v>42535.119143518517</v>
      </c>
      <c r="T1128" s="9">
        <f t="shared" si="125"/>
        <v>42565.119143518517</v>
      </c>
    </row>
    <row r="1129" spans="1:20" ht="43.5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22"/>
        <v>1.6714285714285713E-2</v>
      </c>
      <c r="P1129">
        <f t="shared" si="123"/>
        <v>17792.5</v>
      </c>
      <c r="Q1129" t="str">
        <f t="shared" si="126"/>
        <v>games</v>
      </c>
      <c r="R1129" t="str">
        <f t="shared" si="127"/>
        <v>mobile games</v>
      </c>
      <c r="S1129" s="9">
        <f t="shared" si="124"/>
        <v>41926.645833333328</v>
      </c>
      <c r="T1129" s="9">
        <f t="shared" si="125"/>
        <v>41957.687499999993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22"/>
        <v>1E-3</v>
      </c>
      <c r="P1130">
        <f t="shared" si="123"/>
        <v>500.5</v>
      </c>
      <c r="Q1130" t="str">
        <f t="shared" si="126"/>
        <v>games</v>
      </c>
      <c r="R1130" t="str">
        <f t="shared" si="127"/>
        <v>mobile games</v>
      </c>
      <c r="S1130" s="9">
        <f t="shared" si="124"/>
        <v>41828.441168981481</v>
      </c>
      <c r="T1130" s="9">
        <f t="shared" si="125"/>
        <v>41858.441168981481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22"/>
        <v>1.0499999999999999E-3</v>
      </c>
      <c r="P1131">
        <f t="shared" si="123"/>
        <v>10010.5</v>
      </c>
      <c r="Q1131" t="str">
        <f t="shared" si="126"/>
        <v>games</v>
      </c>
      <c r="R1131" t="str">
        <f t="shared" si="127"/>
        <v>mobile games</v>
      </c>
      <c r="S1131" s="9">
        <f t="shared" si="124"/>
        <v>42496.056631944441</v>
      </c>
      <c r="T1131" s="9">
        <f t="shared" si="125"/>
        <v>42526.056631944441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22"/>
        <v>2.2000000000000001E-3</v>
      </c>
      <c r="P1132">
        <f t="shared" si="123"/>
        <v>2505.5</v>
      </c>
      <c r="Q1132" t="str">
        <f t="shared" si="126"/>
        <v>games</v>
      </c>
      <c r="R1132" t="str">
        <f t="shared" si="127"/>
        <v>mobile games</v>
      </c>
      <c r="S1132" s="9">
        <f t="shared" si="124"/>
        <v>41908.788194444445</v>
      </c>
      <c r="T1132" s="9">
        <f t="shared" si="125"/>
        <v>41968.829861111109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22"/>
        <v>0</v>
      </c>
      <c r="P1133">
        <f t="shared" si="123"/>
        <v>20000</v>
      </c>
      <c r="Q1133" t="str">
        <f t="shared" si="126"/>
        <v>games</v>
      </c>
      <c r="R1133" t="str">
        <f t="shared" si="127"/>
        <v>mobile games</v>
      </c>
      <c r="S1133" s="9">
        <f t="shared" si="124"/>
        <v>42332.699861111112</v>
      </c>
      <c r="T1133" s="9">
        <f t="shared" si="125"/>
        <v>42362.699861111112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22"/>
        <v>0.14380000000000001</v>
      </c>
      <c r="P1134">
        <f t="shared" si="123"/>
        <v>5719</v>
      </c>
      <c r="Q1134" t="str">
        <f t="shared" si="126"/>
        <v>games</v>
      </c>
      <c r="R1134" t="str">
        <f t="shared" si="127"/>
        <v>mobile games</v>
      </c>
      <c r="S1134" s="9">
        <f t="shared" si="124"/>
        <v>42705.907071759262</v>
      </c>
      <c r="T1134" s="9">
        <f t="shared" si="125"/>
        <v>42735.907071759262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22"/>
        <v>6.6666666666666671E-3</v>
      </c>
      <c r="P1135">
        <f t="shared" si="123"/>
        <v>1510</v>
      </c>
      <c r="Q1135" t="str">
        <f t="shared" si="126"/>
        <v>games</v>
      </c>
      <c r="R1135" t="str">
        <f t="shared" si="127"/>
        <v>mobile games</v>
      </c>
      <c r="S1135" s="9">
        <f t="shared" si="124"/>
        <v>41821.198854166665</v>
      </c>
      <c r="T1135" s="9">
        <f t="shared" si="125"/>
        <v>41851.198854166665</v>
      </c>
    </row>
    <row r="1136" spans="1:20" ht="29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22"/>
        <v>4.0000000000000003E-5</v>
      </c>
      <c r="P1136">
        <f t="shared" si="123"/>
        <v>12500.5</v>
      </c>
      <c r="Q1136" t="str">
        <f t="shared" si="126"/>
        <v>games</v>
      </c>
      <c r="R1136" t="str">
        <f t="shared" si="127"/>
        <v>mobile games</v>
      </c>
      <c r="S1136" s="9">
        <f t="shared" si="124"/>
        <v>41958.07671296296</v>
      </c>
      <c r="T1136" s="9">
        <f t="shared" si="125"/>
        <v>41971.981249999997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22"/>
        <v>0.05</v>
      </c>
      <c r="P1137">
        <f t="shared" si="123"/>
        <v>525</v>
      </c>
      <c r="Q1137" t="str">
        <f t="shared" si="126"/>
        <v>games</v>
      </c>
      <c r="R1137" t="str">
        <f t="shared" si="127"/>
        <v>mobile games</v>
      </c>
      <c r="S1137" s="9">
        <f t="shared" si="124"/>
        <v>42558.781180555554</v>
      </c>
      <c r="T1137" s="9">
        <f t="shared" si="125"/>
        <v>42588.781180555554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22"/>
        <v>6.4439140811455853E-2</v>
      </c>
      <c r="P1138">
        <f t="shared" si="123"/>
        <v>2230</v>
      </c>
      <c r="Q1138" t="str">
        <f t="shared" si="126"/>
        <v>games</v>
      </c>
      <c r="R1138" t="str">
        <f t="shared" si="127"/>
        <v>mobile games</v>
      </c>
      <c r="S1138" s="9">
        <f t="shared" si="124"/>
        <v>42327.46329861111</v>
      </c>
      <c r="T1138" s="9">
        <f t="shared" si="125"/>
        <v>42357.46329861111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22"/>
        <v>0.39500000000000002</v>
      </c>
      <c r="P1139">
        <f t="shared" si="123"/>
        <v>17437.5</v>
      </c>
      <c r="Q1139" t="str">
        <f t="shared" si="126"/>
        <v>games</v>
      </c>
      <c r="R1139" t="str">
        <f t="shared" si="127"/>
        <v>mobile games</v>
      </c>
      <c r="S1139" s="9">
        <f t="shared" si="124"/>
        <v>42453.611354166664</v>
      </c>
      <c r="T1139" s="9">
        <f t="shared" si="125"/>
        <v>42483.611354166664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22"/>
        <v>3.5714285714285713E-3</v>
      </c>
      <c r="P1140">
        <f t="shared" si="123"/>
        <v>17562.5</v>
      </c>
      <c r="Q1140" t="str">
        <f t="shared" si="126"/>
        <v>games</v>
      </c>
      <c r="R1140" t="str">
        <f t="shared" si="127"/>
        <v>mobile games</v>
      </c>
      <c r="S1140" s="9">
        <f t="shared" si="124"/>
        <v>42736.698275462964</v>
      </c>
      <c r="T1140" s="9">
        <f t="shared" si="125"/>
        <v>42756.698275462964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22"/>
        <v>6.2500000000000001E-4</v>
      </c>
      <c r="P1141">
        <f t="shared" si="123"/>
        <v>4002.5</v>
      </c>
      <c r="Q1141" t="str">
        <f t="shared" si="126"/>
        <v>games</v>
      </c>
      <c r="R1141" t="str">
        <f t="shared" si="127"/>
        <v>mobile games</v>
      </c>
      <c r="S1141" s="9">
        <f t="shared" si="124"/>
        <v>41975.139189814814</v>
      </c>
      <c r="T1141" s="9">
        <f t="shared" si="125"/>
        <v>42005.139189814814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22"/>
        <v>0</v>
      </c>
      <c r="P1142">
        <f t="shared" si="123"/>
        <v>2500</v>
      </c>
      <c r="Q1142" t="str">
        <f t="shared" si="126"/>
        <v>games</v>
      </c>
      <c r="R1142" t="str">
        <f t="shared" si="127"/>
        <v>mobile games</v>
      </c>
      <c r="S1142" s="9">
        <f t="shared" si="124"/>
        <v>42192.253715277773</v>
      </c>
      <c r="T1142" s="9">
        <f t="shared" si="125"/>
        <v>42222.253715277773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22"/>
        <v>0</v>
      </c>
      <c r="P1143">
        <f t="shared" si="123"/>
        <v>250</v>
      </c>
      <c r="Q1143" t="str">
        <f t="shared" si="126"/>
        <v>games</v>
      </c>
      <c r="R1143" t="str">
        <f t="shared" si="127"/>
        <v>mobile games</v>
      </c>
      <c r="S1143" s="9">
        <f t="shared" si="124"/>
        <v>42164.491319444445</v>
      </c>
      <c r="T1143" s="9">
        <f t="shared" si="125"/>
        <v>42194.491319444445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22"/>
        <v>0</v>
      </c>
      <c r="P1144">
        <f t="shared" si="123"/>
        <v>2000</v>
      </c>
      <c r="Q1144" t="str">
        <f t="shared" si="126"/>
        <v>games</v>
      </c>
      <c r="R1144" t="str">
        <f t="shared" si="127"/>
        <v>mobile games</v>
      </c>
      <c r="S1144" s="9">
        <f t="shared" si="124"/>
        <v>42021.797766203701</v>
      </c>
      <c r="T1144" s="9">
        <f t="shared" si="125"/>
        <v>42051.797766203701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22"/>
        <v>4.1333333333333335E-3</v>
      </c>
      <c r="P1145">
        <f t="shared" si="123"/>
        <v>22593</v>
      </c>
      <c r="Q1145" t="str">
        <f t="shared" si="126"/>
        <v>games</v>
      </c>
      <c r="R1145" t="str">
        <f t="shared" si="127"/>
        <v>mobile games</v>
      </c>
      <c r="S1145" s="9">
        <f t="shared" si="124"/>
        <v>42324.985254629624</v>
      </c>
      <c r="T1145" s="9">
        <f t="shared" si="125"/>
        <v>42354.985254629624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22"/>
        <v>0</v>
      </c>
      <c r="P1146">
        <f t="shared" si="123"/>
        <v>4650</v>
      </c>
      <c r="Q1146" t="str">
        <f>IF(N1146="food/food trucks","food")</f>
        <v>food</v>
      </c>
      <c r="R1146" t="str">
        <f>IF(N1146="food/food trucks","food trucks")</f>
        <v>food trucks</v>
      </c>
      <c r="S1146" s="9">
        <f t="shared" si="124"/>
        <v>42092.973611111105</v>
      </c>
      <c r="T1146" s="9">
        <f t="shared" si="125"/>
        <v>42122.973611111105</v>
      </c>
    </row>
    <row r="1147" spans="1:20" ht="29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22"/>
        <v>1.25E-3</v>
      </c>
      <c r="P1147">
        <f t="shared" si="123"/>
        <v>40050</v>
      </c>
      <c r="Q1147" t="str">
        <f>IF(N1147="food/food trucks","food")</f>
        <v>food</v>
      </c>
      <c r="R1147" t="str">
        <f>IF(N1147="food/food trucks","food trucks")</f>
        <v>food trucks</v>
      </c>
      <c r="S1147" s="9">
        <f t="shared" si="124"/>
        <v>41854.539259259254</v>
      </c>
      <c r="T1147" s="9">
        <f t="shared" si="125"/>
        <v>41914.539259259254</v>
      </c>
    </row>
    <row r="1148" spans="1:20" ht="29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22"/>
        <v>8.8333333333333333E-2</v>
      </c>
      <c r="P1148">
        <f t="shared" si="123"/>
        <v>3265</v>
      </c>
      <c r="Q1148" t="str">
        <f t="shared" ref="Q1148:Q1185" si="128">IF(N1148="food/food trucks","food")</f>
        <v>food</v>
      </c>
      <c r="R1148" t="str">
        <f t="shared" ref="R1148:R1185" si="129">IF(N1148="food/food trucks","food trucks")</f>
        <v>food trucks</v>
      </c>
      <c r="S1148" s="9">
        <f t="shared" si="124"/>
        <v>41723.745057870365</v>
      </c>
      <c r="T1148" s="9">
        <f t="shared" si="125"/>
        <v>41761.745057870365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22"/>
        <v>0</v>
      </c>
      <c r="P1149">
        <f t="shared" si="123"/>
        <v>12500</v>
      </c>
      <c r="Q1149" t="str">
        <f t="shared" si="128"/>
        <v>food</v>
      </c>
      <c r="R1149" t="str">
        <f t="shared" si="129"/>
        <v>food trucks</v>
      </c>
      <c r="S1149" s="9">
        <f t="shared" si="124"/>
        <v>41871.763692129629</v>
      </c>
      <c r="T1149" s="9">
        <f t="shared" si="125"/>
        <v>41931.763692129629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22"/>
        <v>4.8666666666666667E-3</v>
      </c>
      <c r="P1150">
        <f t="shared" si="123"/>
        <v>7536.5</v>
      </c>
      <c r="Q1150" t="str">
        <f t="shared" si="128"/>
        <v>food</v>
      </c>
      <c r="R1150" t="str">
        <f t="shared" si="129"/>
        <v>food trucks</v>
      </c>
      <c r="S1150" s="9">
        <f t="shared" si="124"/>
        <v>42674.962743055548</v>
      </c>
      <c r="T1150" s="9">
        <f t="shared" si="125"/>
        <v>42705.00440972222</v>
      </c>
    </row>
    <row r="1151" spans="1:20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22"/>
        <v>1.5E-3</v>
      </c>
      <c r="P1151">
        <f t="shared" si="123"/>
        <v>25037.5</v>
      </c>
      <c r="Q1151" t="str">
        <f t="shared" si="128"/>
        <v>food</v>
      </c>
      <c r="R1151" t="str">
        <f t="shared" si="129"/>
        <v>food trucks</v>
      </c>
      <c r="S1151" s="9">
        <f t="shared" si="124"/>
        <v>42507.501921296294</v>
      </c>
      <c r="T1151" s="9">
        <f t="shared" si="125"/>
        <v>42537.501921296294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22"/>
        <v>0.1008</v>
      </c>
      <c r="P1152">
        <f t="shared" si="123"/>
        <v>1376</v>
      </c>
      <c r="Q1152" t="str">
        <f t="shared" si="128"/>
        <v>food</v>
      </c>
      <c r="R1152" t="str">
        <f t="shared" si="129"/>
        <v>food trucks</v>
      </c>
      <c r="S1152" s="9">
        <f t="shared" si="124"/>
        <v>42317.74623842592</v>
      </c>
      <c r="T1152" s="9">
        <f t="shared" si="125"/>
        <v>42377.74623842592</v>
      </c>
    </row>
    <row r="1153" spans="1:20" ht="43.5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22"/>
        <v>0</v>
      </c>
      <c r="P1153">
        <f t="shared" si="123"/>
        <v>12500</v>
      </c>
      <c r="Q1153" t="str">
        <f t="shared" si="128"/>
        <v>food</v>
      </c>
      <c r="R1153" t="str">
        <f t="shared" si="129"/>
        <v>food trucks</v>
      </c>
      <c r="S1153" s="9">
        <f t="shared" si="124"/>
        <v>42223.894247685188</v>
      </c>
      <c r="T1153" s="9">
        <f t="shared" si="125"/>
        <v>42253.894247685188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22"/>
        <v>5.6937500000000002E-2</v>
      </c>
      <c r="P1154">
        <f t="shared" si="123"/>
        <v>8455.5</v>
      </c>
      <c r="Q1154" t="str">
        <f t="shared" si="128"/>
        <v>food</v>
      </c>
      <c r="R1154" t="str">
        <f t="shared" si="129"/>
        <v>food trucks</v>
      </c>
      <c r="S1154" s="9">
        <f t="shared" si="124"/>
        <v>42109.501296296294</v>
      </c>
      <c r="T1154" s="9">
        <f t="shared" si="125"/>
        <v>42139.501296296294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30">E1155/D1155</f>
        <v>6.2500000000000003E-3</v>
      </c>
      <c r="P1155">
        <f t="shared" ref="P1155:P1218" si="131">AVERAGE(D1155:E1155)</f>
        <v>4025</v>
      </c>
      <c r="Q1155" t="str">
        <f t="shared" si="128"/>
        <v>food</v>
      </c>
      <c r="R1155" t="str">
        <f t="shared" si="129"/>
        <v>food trucks</v>
      </c>
      <c r="S1155" s="9">
        <f t="shared" ref="S1155:S1218" si="132">J1155/86400+25569+(-5/24)</f>
        <v>42143.505844907406</v>
      </c>
      <c r="T1155" s="9">
        <f t="shared" si="125"/>
        <v>42173.505844907406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30"/>
        <v>6.5000000000000002E-2</v>
      </c>
      <c r="P1156">
        <f t="shared" si="131"/>
        <v>2662.5</v>
      </c>
      <c r="Q1156" t="str">
        <f t="shared" si="128"/>
        <v>food</v>
      </c>
      <c r="R1156" t="str">
        <f t="shared" si="129"/>
        <v>food trucks</v>
      </c>
      <c r="S1156" s="9">
        <f t="shared" si="132"/>
        <v>42222.900532407402</v>
      </c>
      <c r="T1156" s="9">
        <f t="shared" ref="T1156:T1219" si="133">I1156/86400+25569+(-5/24)</f>
        <v>42252.900532407402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30"/>
        <v>7.5199999999999998E-3</v>
      </c>
      <c r="P1157">
        <f t="shared" si="131"/>
        <v>12594</v>
      </c>
      <c r="Q1157" t="str">
        <f t="shared" si="128"/>
        <v>food</v>
      </c>
      <c r="R1157" t="str">
        <f t="shared" si="129"/>
        <v>food trucks</v>
      </c>
      <c r="S1157" s="9">
        <f t="shared" si="132"/>
        <v>41835.555648148147</v>
      </c>
      <c r="T1157" s="9">
        <f t="shared" si="133"/>
        <v>41865.555648148147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30"/>
        <v>0</v>
      </c>
      <c r="P1158">
        <f t="shared" si="131"/>
        <v>3250</v>
      </c>
      <c r="Q1158" t="str">
        <f t="shared" si="128"/>
        <v>food</v>
      </c>
      <c r="R1158" t="str">
        <f t="shared" si="129"/>
        <v>food trucks</v>
      </c>
      <c r="S1158" s="9">
        <f t="shared" si="132"/>
        <v>42028.862986111104</v>
      </c>
      <c r="T1158" s="9">
        <f t="shared" si="133"/>
        <v>42058.862986111104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30"/>
        <v>1.5100000000000001E-2</v>
      </c>
      <c r="P1159">
        <f t="shared" si="131"/>
        <v>5075.5</v>
      </c>
      <c r="Q1159" t="str">
        <f t="shared" si="128"/>
        <v>food</v>
      </c>
      <c r="R1159" t="str">
        <f t="shared" si="129"/>
        <v>food trucks</v>
      </c>
      <c r="S1159" s="9">
        <f t="shared" si="132"/>
        <v>41918.419907407406</v>
      </c>
      <c r="T1159" s="9">
        <f t="shared" si="133"/>
        <v>41978.46157407407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30"/>
        <v>4.6666666666666671E-3</v>
      </c>
      <c r="P1160">
        <f t="shared" si="131"/>
        <v>3767.5</v>
      </c>
      <c r="Q1160" t="str">
        <f t="shared" si="128"/>
        <v>food</v>
      </c>
      <c r="R1160" t="str">
        <f t="shared" si="129"/>
        <v>food trucks</v>
      </c>
      <c r="S1160" s="9">
        <f t="shared" si="132"/>
        <v>41951.883425925924</v>
      </c>
      <c r="T1160" s="9">
        <f t="shared" si="133"/>
        <v>41981.883425925924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30"/>
        <v>0</v>
      </c>
      <c r="P1161">
        <f t="shared" si="131"/>
        <v>3375</v>
      </c>
      <c r="Q1161" t="str">
        <f t="shared" si="128"/>
        <v>food</v>
      </c>
      <c r="R1161" t="str">
        <f t="shared" si="129"/>
        <v>food trucks</v>
      </c>
      <c r="S1161" s="9">
        <f t="shared" si="132"/>
        <v>42154.518113425926</v>
      </c>
      <c r="T1161" s="9">
        <f t="shared" si="133"/>
        <v>42185.447916666664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30"/>
        <v>3.85E-2</v>
      </c>
      <c r="P1162">
        <f t="shared" si="131"/>
        <v>15577.5</v>
      </c>
      <c r="Q1162" t="str">
        <f t="shared" si="128"/>
        <v>food</v>
      </c>
      <c r="R1162" t="str">
        <f t="shared" si="129"/>
        <v>food trucks</v>
      </c>
      <c r="S1162" s="9">
        <f t="shared" si="132"/>
        <v>42060.946597222217</v>
      </c>
      <c r="T1162" s="9">
        <f t="shared" si="133"/>
        <v>42090.904930555553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30"/>
        <v>0</v>
      </c>
      <c r="P1163">
        <f t="shared" si="131"/>
        <v>9000</v>
      </c>
      <c r="Q1163" t="str">
        <f t="shared" si="128"/>
        <v>food</v>
      </c>
      <c r="R1163" t="str">
        <f t="shared" si="129"/>
        <v>food trucks</v>
      </c>
      <c r="S1163" s="9">
        <f t="shared" si="132"/>
        <v>42122.421168981477</v>
      </c>
      <c r="T1163" s="9">
        <f t="shared" si="133"/>
        <v>42143.421168981477</v>
      </c>
    </row>
    <row r="1164" spans="1:20" ht="43.5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30"/>
        <v>5.8333333333333338E-4</v>
      </c>
      <c r="P1164">
        <f t="shared" si="131"/>
        <v>30017.5</v>
      </c>
      <c r="Q1164" t="str">
        <f t="shared" si="128"/>
        <v>food</v>
      </c>
      <c r="R1164" t="str">
        <f t="shared" si="129"/>
        <v>food trucks</v>
      </c>
      <c r="S1164" s="9">
        <f t="shared" si="132"/>
        <v>41876.475277777776</v>
      </c>
      <c r="T1164" s="9">
        <f t="shared" si="133"/>
        <v>41907.475277777776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30"/>
        <v>0</v>
      </c>
      <c r="P1165">
        <f t="shared" si="131"/>
        <v>2600</v>
      </c>
      <c r="Q1165" t="str">
        <f t="shared" si="128"/>
        <v>food</v>
      </c>
      <c r="R1165" t="str">
        <f t="shared" si="129"/>
        <v>food trucks</v>
      </c>
      <c r="S1165" s="9">
        <f t="shared" si="132"/>
        <v>41830.515277777777</v>
      </c>
      <c r="T1165" s="9">
        <f t="shared" si="133"/>
        <v>41860.515277777777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30"/>
        <v>0</v>
      </c>
      <c r="P1166">
        <f t="shared" si="131"/>
        <v>5000</v>
      </c>
      <c r="Q1166" t="str">
        <f t="shared" si="128"/>
        <v>food</v>
      </c>
      <c r="R1166" t="str">
        <f t="shared" si="129"/>
        <v>food trucks</v>
      </c>
      <c r="S1166" s="9">
        <f t="shared" si="132"/>
        <v>42509.51599537037</v>
      </c>
      <c r="T1166" s="9">
        <f t="shared" si="133"/>
        <v>42539.51599537037</v>
      </c>
    </row>
    <row r="1167" spans="1:20" ht="43.5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30"/>
        <v>0.20705000000000001</v>
      </c>
      <c r="P1167">
        <f t="shared" si="131"/>
        <v>6035.25</v>
      </c>
      <c r="Q1167" t="str">
        <f t="shared" si="128"/>
        <v>food</v>
      </c>
      <c r="R1167" t="str">
        <f t="shared" si="129"/>
        <v>food trucks</v>
      </c>
      <c r="S1167" s="9">
        <f t="shared" si="132"/>
        <v>41792.00613425926</v>
      </c>
      <c r="T1167" s="9">
        <f t="shared" si="133"/>
        <v>41826.00613425926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30"/>
        <v>0.19139999999999999</v>
      </c>
      <c r="P1168">
        <f t="shared" si="131"/>
        <v>8935.5</v>
      </c>
      <c r="Q1168" t="str">
        <f t="shared" si="128"/>
        <v>food</v>
      </c>
      <c r="R1168" t="str">
        <f t="shared" si="129"/>
        <v>food trucks</v>
      </c>
      <c r="S1168" s="9">
        <f t="shared" si="132"/>
        <v>42150.277106481481</v>
      </c>
      <c r="T1168" s="9">
        <f t="shared" si="133"/>
        <v>42180.958333333336</v>
      </c>
    </row>
    <row r="1169" spans="1:20" ht="29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30"/>
        <v>1.6316666666666667E-2</v>
      </c>
      <c r="P1169">
        <f t="shared" si="131"/>
        <v>30489.5</v>
      </c>
      <c r="Q1169" t="str">
        <f t="shared" si="128"/>
        <v>food</v>
      </c>
      <c r="R1169" t="str">
        <f t="shared" si="129"/>
        <v>food trucks</v>
      </c>
      <c r="S1169" s="9">
        <f t="shared" si="132"/>
        <v>41863.526562499996</v>
      </c>
      <c r="T1169" s="9">
        <f t="shared" si="133"/>
        <v>41894.526562499996</v>
      </c>
    </row>
    <row r="1170" spans="1:20" ht="29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30"/>
        <v>5.6666666666666664E-2</v>
      </c>
      <c r="P1170">
        <f t="shared" si="131"/>
        <v>9510</v>
      </c>
      <c r="Q1170" t="str">
        <f t="shared" si="128"/>
        <v>food</v>
      </c>
      <c r="R1170" t="str">
        <f t="shared" si="129"/>
        <v>food trucks</v>
      </c>
      <c r="S1170" s="9">
        <f t="shared" si="132"/>
        <v>42604.845659722218</v>
      </c>
      <c r="T1170" s="9">
        <f t="shared" si="133"/>
        <v>42634.845659722218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30"/>
        <v>1.6999999999999999E-3</v>
      </c>
      <c r="P1171">
        <f t="shared" si="131"/>
        <v>5008.5</v>
      </c>
      <c r="Q1171" t="str">
        <f t="shared" si="128"/>
        <v>food</v>
      </c>
      <c r="R1171" t="str">
        <f t="shared" si="129"/>
        <v>food trucks</v>
      </c>
      <c r="S1171" s="9">
        <f t="shared" si="132"/>
        <v>42027.145405092589</v>
      </c>
      <c r="T1171" s="9">
        <f t="shared" si="133"/>
        <v>42057.145405092589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30"/>
        <v>4.0000000000000001E-3</v>
      </c>
      <c r="P1172">
        <f t="shared" si="131"/>
        <v>12550</v>
      </c>
      <c r="Q1172" t="str">
        <f t="shared" si="128"/>
        <v>food</v>
      </c>
      <c r="R1172" t="str">
        <f t="shared" si="129"/>
        <v>food trucks</v>
      </c>
      <c r="S1172" s="9">
        <f t="shared" si="132"/>
        <v>42124.684849537036</v>
      </c>
      <c r="T1172" s="9">
        <f t="shared" si="133"/>
        <v>42154.684849537036</v>
      </c>
    </row>
    <row r="1173" spans="1:20" ht="29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30"/>
        <v>1E-3</v>
      </c>
      <c r="P1173">
        <f t="shared" si="131"/>
        <v>12512.5</v>
      </c>
      <c r="Q1173" t="str">
        <f t="shared" si="128"/>
        <v>food</v>
      </c>
      <c r="R1173" t="str">
        <f t="shared" si="129"/>
        <v>food trucks</v>
      </c>
      <c r="S1173" s="9">
        <f t="shared" si="132"/>
        <v>41938.596377314811</v>
      </c>
      <c r="T1173" s="9">
        <f t="shared" si="133"/>
        <v>41956.638043981475</v>
      </c>
    </row>
    <row r="1174" spans="1:20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30"/>
        <v>0</v>
      </c>
      <c r="P1174">
        <f t="shared" si="131"/>
        <v>4500</v>
      </c>
      <c r="Q1174" t="str">
        <f t="shared" si="128"/>
        <v>food</v>
      </c>
      <c r="R1174" t="str">
        <f t="shared" si="129"/>
        <v>food trucks</v>
      </c>
      <c r="S1174" s="9">
        <f t="shared" si="132"/>
        <v>41841.473981481475</v>
      </c>
      <c r="T1174" s="9">
        <f t="shared" si="133"/>
        <v>41871.473981481475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30"/>
        <v>2.4000000000000001E-4</v>
      </c>
      <c r="P1175">
        <f t="shared" si="131"/>
        <v>62515</v>
      </c>
      <c r="Q1175" t="str">
        <f t="shared" si="128"/>
        <v>food</v>
      </c>
      <c r="R1175" t="str">
        <f t="shared" si="129"/>
        <v>food trucks</v>
      </c>
      <c r="S1175" s="9">
        <f t="shared" si="132"/>
        <v>42183.97751157407</v>
      </c>
      <c r="T1175" s="9">
        <f t="shared" si="133"/>
        <v>42218.97751157407</v>
      </c>
    </row>
    <row r="1176" spans="1:20" ht="29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30"/>
        <v>5.906666666666667E-2</v>
      </c>
      <c r="P1176">
        <f t="shared" si="131"/>
        <v>7943</v>
      </c>
      <c r="Q1176" t="str">
        <f t="shared" si="128"/>
        <v>food</v>
      </c>
      <c r="R1176" t="str">
        <f t="shared" si="129"/>
        <v>food trucks</v>
      </c>
      <c r="S1176" s="9">
        <f t="shared" si="132"/>
        <v>42468.633414351854</v>
      </c>
      <c r="T1176" s="9">
        <f t="shared" si="133"/>
        <v>42498.633414351854</v>
      </c>
    </row>
    <row r="1177" spans="1:20" ht="29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30"/>
        <v>2.9250000000000002E-2</v>
      </c>
      <c r="P1177">
        <f t="shared" si="131"/>
        <v>10292.5</v>
      </c>
      <c r="Q1177" t="str">
        <f t="shared" si="128"/>
        <v>food</v>
      </c>
      <c r="R1177" t="str">
        <f t="shared" si="129"/>
        <v>food trucks</v>
      </c>
      <c r="S1177" s="9">
        <f t="shared" si="132"/>
        <v>42170.520127314812</v>
      </c>
      <c r="T1177" s="9">
        <f t="shared" si="133"/>
        <v>42200.520127314812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30"/>
        <v>5.7142857142857142E-5</v>
      </c>
      <c r="P1178">
        <f t="shared" si="131"/>
        <v>87505</v>
      </c>
      <c r="Q1178" t="str">
        <f t="shared" si="128"/>
        <v>food</v>
      </c>
      <c r="R1178" t="str">
        <f t="shared" si="129"/>
        <v>food trucks</v>
      </c>
      <c r="S1178" s="9">
        <f t="shared" si="132"/>
        <v>42745.811319444438</v>
      </c>
      <c r="T1178" s="9">
        <f t="shared" si="133"/>
        <v>42800.333333333336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30"/>
        <v>0</v>
      </c>
      <c r="P1179">
        <f t="shared" si="131"/>
        <v>3000</v>
      </c>
      <c r="Q1179" t="str">
        <f t="shared" si="128"/>
        <v>food</v>
      </c>
      <c r="R1179" t="str">
        <f t="shared" si="129"/>
        <v>food trucks</v>
      </c>
      <c r="S1179" s="9">
        <f t="shared" si="132"/>
        <v>41897.452499999999</v>
      </c>
      <c r="T1179" s="9">
        <f t="shared" si="133"/>
        <v>41927.452499999999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30"/>
        <v>6.666666666666667E-5</v>
      </c>
      <c r="P1180">
        <f t="shared" si="131"/>
        <v>37502.5</v>
      </c>
      <c r="Q1180" t="str">
        <f t="shared" si="128"/>
        <v>food</v>
      </c>
      <c r="R1180" t="str">
        <f t="shared" si="129"/>
        <v>food trucks</v>
      </c>
      <c r="S1180" s="9">
        <f t="shared" si="132"/>
        <v>41837.69736111111</v>
      </c>
      <c r="T1180" s="9">
        <f t="shared" si="133"/>
        <v>41867.69736111111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30"/>
        <v>5.3333333333333337E-2</v>
      </c>
      <c r="P1181">
        <f t="shared" si="131"/>
        <v>31600</v>
      </c>
      <c r="Q1181" t="str">
        <f t="shared" si="128"/>
        <v>food</v>
      </c>
      <c r="R1181" t="str">
        <f t="shared" si="129"/>
        <v>food trucks</v>
      </c>
      <c r="S1181" s="9">
        <f t="shared" si="132"/>
        <v>42275.511886574073</v>
      </c>
      <c r="T1181" s="9">
        <f t="shared" si="133"/>
        <v>42305.511886574073</v>
      </c>
    </row>
    <row r="1182" spans="1:20" ht="29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30"/>
        <v>0.11749999999999999</v>
      </c>
      <c r="P1182">
        <f t="shared" si="131"/>
        <v>27937.5</v>
      </c>
      <c r="Q1182" t="str">
        <f t="shared" si="128"/>
        <v>food</v>
      </c>
      <c r="R1182" t="str">
        <f t="shared" si="129"/>
        <v>food trucks</v>
      </c>
      <c r="S1182" s="9">
        <f t="shared" si="132"/>
        <v>41781.598541666666</v>
      </c>
      <c r="T1182" s="9">
        <f t="shared" si="133"/>
        <v>41818.598541666666</v>
      </c>
    </row>
    <row r="1183" spans="1:20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30"/>
        <v>8.0000000000000007E-5</v>
      </c>
      <c r="P1183">
        <f t="shared" si="131"/>
        <v>25002</v>
      </c>
      <c r="Q1183" t="str">
        <f t="shared" si="128"/>
        <v>food</v>
      </c>
      <c r="R1183" t="str">
        <f t="shared" si="129"/>
        <v>food trucks</v>
      </c>
      <c r="S1183" s="9">
        <f t="shared" si="132"/>
        <v>42034.131030092591</v>
      </c>
      <c r="T1183" s="9">
        <f t="shared" si="133"/>
        <v>42064.131030092591</v>
      </c>
    </row>
    <row r="1184" spans="1:20" ht="43.5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30"/>
        <v>4.2000000000000003E-2</v>
      </c>
      <c r="P1184">
        <f t="shared" si="131"/>
        <v>521</v>
      </c>
      <c r="Q1184" t="str">
        <f t="shared" si="128"/>
        <v>food</v>
      </c>
      <c r="R1184" t="str">
        <f t="shared" si="129"/>
        <v>food trucks</v>
      </c>
      <c r="S1184" s="9">
        <f t="shared" si="132"/>
        <v>42728.619074074071</v>
      </c>
      <c r="T1184" s="9">
        <f t="shared" si="133"/>
        <v>42747.487499999996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30"/>
        <v>0.04</v>
      </c>
      <c r="P1185">
        <f t="shared" si="131"/>
        <v>1300</v>
      </c>
      <c r="Q1185" t="str">
        <f t="shared" si="128"/>
        <v>food</v>
      </c>
      <c r="R1185" t="str">
        <f t="shared" si="129"/>
        <v>food trucks</v>
      </c>
      <c r="S1185" s="9">
        <f t="shared" si="132"/>
        <v>42656.653043981474</v>
      </c>
      <c r="T1185" s="9">
        <f t="shared" si="133"/>
        <v>42675.957638888889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30"/>
        <v>1.0493636363636363</v>
      </c>
      <c r="P1186">
        <f t="shared" si="131"/>
        <v>22543</v>
      </c>
      <c r="Q1186" t="str">
        <f>IF(N1186="photography/photobooks","photography")</f>
        <v>photography</v>
      </c>
      <c r="R1186" t="str">
        <f>IF(N1186="photography/photobooks","photobooks")</f>
        <v>photobooks</v>
      </c>
      <c r="S1186" s="9">
        <f t="shared" si="132"/>
        <v>42741.391331018516</v>
      </c>
      <c r="T1186" s="9">
        <f t="shared" si="133"/>
        <v>42772.391331018516</v>
      </c>
    </row>
    <row r="1187" spans="1:20" ht="43.5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30"/>
        <v>1.0544</v>
      </c>
      <c r="P1187">
        <f t="shared" si="131"/>
        <v>12840</v>
      </c>
      <c r="Q1187" t="str">
        <f t="shared" ref="Q1187:Q1225" si="134">IF(N1187="photography/photobooks","photography")</f>
        <v>photography</v>
      </c>
      <c r="R1187" t="str">
        <f t="shared" ref="R1187:R1225" si="135">IF(N1187="photography/photobooks","photobooks")</f>
        <v>photobooks</v>
      </c>
      <c r="S1187" s="9">
        <f t="shared" si="132"/>
        <v>42130.656817129631</v>
      </c>
      <c r="T1187" s="9">
        <f t="shared" si="133"/>
        <v>42162.958333333336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30"/>
        <v>1.0673333333333332</v>
      </c>
      <c r="P1188">
        <f t="shared" si="131"/>
        <v>7752.5</v>
      </c>
      <c r="Q1188" t="str">
        <f t="shared" si="134"/>
        <v>photography</v>
      </c>
      <c r="R1188" t="str">
        <f t="shared" si="135"/>
        <v>photobooks</v>
      </c>
      <c r="S1188" s="9">
        <f t="shared" si="132"/>
        <v>42123.655034722215</v>
      </c>
      <c r="T1188" s="9">
        <f t="shared" si="133"/>
        <v>42156.737499999996</v>
      </c>
    </row>
    <row r="1189" spans="1:20" ht="43.5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30"/>
        <v>1.0412571428571429</v>
      </c>
      <c r="P1189">
        <f t="shared" si="131"/>
        <v>8930.5</v>
      </c>
      <c r="Q1189" t="str">
        <f t="shared" si="134"/>
        <v>photography</v>
      </c>
      <c r="R1189" t="str">
        <f t="shared" si="135"/>
        <v>photobooks</v>
      </c>
      <c r="S1189" s="9">
        <f t="shared" si="132"/>
        <v>42109.686608796292</v>
      </c>
      <c r="T1189" s="9">
        <f t="shared" si="133"/>
        <v>42141.541666666664</v>
      </c>
    </row>
    <row r="1190" spans="1:20" ht="29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30"/>
        <v>1.6054999999999999</v>
      </c>
      <c r="P1190">
        <f t="shared" si="131"/>
        <v>2605.5</v>
      </c>
      <c r="Q1190" t="str">
        <f t="shared" si="134"/>
        <v>photography</v>
      </c>
      <c r="R1190" t="str">
        <f t="shared" si="135"/>
        <v>photobooks</v>
      </c>
      <c r="S1190" s="9">
        <f t="shared" si="132"/>
        <v>42711.492361111108</v>
      </c>
      <c r="T1190" s="9">
        <f t="shared" si="133"/>
        <v>42732.492361111108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30"/>
        <v>1.0777777777777777</v>
      </c>
      <c r="P1191">
        <f t="shared" si="131"/>
        <v>9350</v>
      </c>
      <c r="Q1191" t="str">
        <f t="shared" si="134"/>
        <v>photography</v>
      </c>
      <c r="R1191" t="str">
        <f t="shared" si="135"/>
        <v>photobooks</v>
      </c>
      <c r="S1191" s="9">
        <f t="shared" si="132"/>
        <v>42529.770775462959</v>
      </c>
      <c r="T1191" s="9">
        <f t="shared" si="133"/>
        <v>42550.770775462959</v>
      </c>
    </row>
    <row r="1192" spans="1:20" ht="29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30"/>
        <v>1.35</v>
      </c>
      <c r="P1192">
        <f t="shared" si="131"/>
        <v>587.5</v>
      </c>
      <c r="Q1192" t="str">
        <f t="shared" si="134"/>
        <v>photography</v>
      </c>
      <c r="R1192" t="str">
        <f t="shared" si="135"/>
        <v>photobooks</v>
      </c>
      <c r="S1192" s="9">
        <f t="shared" si="132"/>
        <v>41852.457465277774</v>
      </c>
      <c r="T1192" s="9">
        <f t="shared" si="133"/>
        <v>41882.457465277774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30"/>
        <v>1.0907407407407408</v>
      </c>
      <c r="P1193">
        <f t="shared" si="131"/>
        <v>2822.5</v>
      </c>
      <c r="Q1193" t="str">
        <f t="shared" si="134"/>
        <v>photography</v>
      </c>
      <c r="R1193" t="str">
        <f t="shared" si="135"/>
        <v>photobooks</v>
      </c>
      <c r="S1193" s="9">
        <f t="shared" si="132"/>
        <v>42419.395370370366</v>
      </c>
      <c r="T1193" s="9">
        <f t="shared" si="133"/>
        <v>42449.353703703702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30"/>
        <v>2.9</v>
      </c>
      <c r="P1194">
        <f t="shared" si="131"/>
        <v>195</v>
      </c>
      <c r="Q1194" t="str">
        <f t="shared" si="134"/>
        <v>photography</v>
      </c>
      <c r="R1194" t="str">
        <f t="shared" si="135"/>
        <v>photobooks</v>
      </c>
      <c r="S1194" s="9">
        <f t="shared" si="132"/>
        <v>42747.298356481479</v>
      </c>
      <c r="T1194" s="9">
        <f t="shared" si="133"/>
        <v>42777.298356481479</v>
      </c>
    </row>
    <row r="1195" spans="1:20" ht="43.5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30"/>
        <v>1.0395714285714286</v>
      </c>
      <c r="P1195">
        <f t="shared" si="131"/>
        <v>21415.5</v>
      </c>
      <c r="Q1195" t="str">
        <f t="shared" si="134"/>
        <v>photography</v>
      </c>
      <c r="R1195" t="str">
        <f t="shared" si="135"/>
        <v>photobooks</v>
      </c>
      <c r="S1195" s="9">
        <f t="shared" si="132"/>
        <v>42409.567743055552</v>
      </c>
      <c r="T1195" s="9">
        <f t="shared" si="133"/>
        <v>42469.526076388887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30"/>
        <v>3.2223999999999999</v>
      </c>
      <c r="P1196">
        <f t="shared" si="131"/>
        <v>26390</v>
      </c>
      <c r="Q1196" t="str">
        <f t="shared" si="134"/>
        <v>photography</v>
      </c>
      <c r="R1196" t="str">
        <f t="shared" si="135"/>
        <v>photobooks</v>
      </c>
      <c r="S1196" s="9">
        <f t="shared" si="132"/>
        <v>42072.27984953703</v>
      </c>
      <c r="T1196" s="9">
        <f t="shared" si="133"/>
        <v>42102.27984953703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30"/>
        <v>1.35</v>
      </c>
      <c r="P1197">
        <f t="shared" si="131"/>
        <v>11750</v>
      </c>
      <c r="Q1197" t="str">
        <f t="shared" si="134"/>
        <v>photography</v>
      </c>
      <c r="R1197" t="str">
        <f t="shared" si="135"/>
        <v>photobooks</v>
      </c>
      <c r="S1197" s="9">
        <f t="shared" si="132"/>
        <v>42298.139502314814</v>
      </c>
      <c r="T1197" s="9">
        <f t="shared" si="133"/>
        <v>42358.166666666664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30"/>
        <v>2.6991034482758622</v>
      </c>
      <c r="P1198">
        <f t="shared" si="131"/>
        <v>26818.5</v>
      </c>
      <c r="Q1198" t="str">
        <f t="shared" si="134"/>
        <v>photography</v>
      </c>
      <c r="R1198" t="str">
        <f t="shared" si="135"/>
        <v>photobooks</v>
      </c>
      <c r="S1198" s="9">
        <f t="shared" si="132"/>
        <v>42326.610405092586</v>
      </c>
      <c r="T1198" s="9">
        <f t="shared" si="133"/>
        <v>42356.610405092586</v>
      </c>
    </row>
    <row r="1199" spans="1:20" ht="43.5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30"/>
        <v>2.5329333333333333</v>
      </c>
      <c r="P1199">
        <f t="shared" si="131"/>
        <v>26497</v>
      </c>
      <c r="Q1199" t="str">
        <f t="shared" si="134"/>
        <v>photography</v>
      </c>
      <c r="R1199" t="str">
        <f t="shared" si="135"/>
        <v>photobooks</v>
      </c>
      <c r="S1199" s="9">
        <f t="shared" si="132"/>
        <v>42503.456412037034</v>
      </c>
      <c r="T1199" s="9">
        <f t="shared" si="133"/>
        <v>42534.040972222218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30"/>
        <v>2.6059999999999999</v>
      </c>
      <c r="P1200">
        <f t="shared" si="131"/>
        <v>6310.5</v>
      </c>
      <c r="Q1200" t="str">
        <f t="shared" si="134"/>
        <v>photography</v>
      </c>
      <c r="R1200" t="str">
        <f t="shared" si="135"/>
        <v>photobooks</v>
      </c>
      <c r="S1200" s="9">
        <f t="shared" si="132"/>
        <v>42333.410717592589</v>
      </c>
      <c r="T1200" s="9">
        <f t="shared" si="133"/>
        <v>42368.916666666664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30"/>
        <v>1.0131677953348381</v>
      </c>
      <c r="P1201">
        <f t="shared" si="131"/>
        <v>2675.5</v>
      </c>
      <c r="Q1201" t="str">
        <f t="shared" si="134"/>
        <v>photography</v>
      </c>
      <c r="R1201" t="str">
        <f t="shared" si="135"/>
        <v>photobooks</v>
      </c>
      <c r="S1201" s="9">
        <f t="shared" si="132"/>
        <v>42161.562499999993</v>
      </c>
      <c r="T1201" s="9">
        <f t="shared" si="133"/>
        <v>42193.562499999993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30"/>
        <v>1.2560416666666667</v>
      </c>
      <c r="P1202">
        <f t="shared" si="131"/>
        <v>5414.5</v>
      </c>
      <c r="Q1202" t="str">
        <f t="shared" si="134"/>
        <v>photography</v>
      </c>
      <c r="R1202" t="str">
        <f t="shared" si="135"/>
        <v>photobooks</v>
      </c>
      <c r="S1202" s="9">
        <f t="shared" si="132"/>
        <v>42089.269166666665</v>
      </c>
      <c r="T1202" s="9">
        <f t="shared" si="133"/>
        <v>42110.269166666665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30"/>
        <v>1.0243783333333334</v>
      </c>
      <c r="P1203">
        <f t="shared" si="131"/>
        <v>6073.1350000000002</v>
      </c>
      <c r="Q1203" t="str">
        <f t="shared" si="134"/>
        <v>photography</v>
      </c>
      <c r="R1203" t="str">
        <f t="shared" si="135"/>
        <v>photobooks</v>
      </c>
      <c r="S1203" s="9">
        <f t="shared" si="132"/>
        <v>42536.398680555554</v>
      </c>
      <c r="T1203" s="9">
        <f t="shared" si="133"/>
        <v>42566.398680555554</v>
      </c>
    </row>
    <row r="1204" spans="1:20" ht="43.5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30"/>
        <v>1.99244</v>
      </c>
      <c r="P1204">
        <f t="shared" si="131"/>
        <v>37405.5</v>
      </c>
      <c r="Q1204" t="str">
        <f t="shared" si="134"/>
        <v>photography</v>
      </c>
      <c r="R1204" t="str">
        <f t="shared" si="135"/>
        <v>photobooks</v>
      </c>
      <c r="S1204" s="9">
        <f t="shared" si="132"/>
        <v>42152.08048611111</v>
      </c>
      <c r="T1204" s="9">
        <f t="shared" si="133"/>
        <v>42182.08048611111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30"/>
        <v>1.0245398773006136</v>
      </c>
      <c r="P1205">
        <f t="shared" si="131"/>
        <v>16500</v>
      </c>
      <c r="Q1205" t="str">
        <f t="shared" si="134"/>
        <v>photography</v>
      </c>
      <c r="R1205" t="str">
        <f t="shared" si="135"/>
        <v>photobooks</v>
      </c>
      <c r="S1205" s="9">
        <f t="shared" si="132"/>
        <v>42125.4065625</v>
      </c>
      <c r="T1205" s="9">
        <f t="shared" si="133"/>
        <v>42155.4065625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30"/>
        <v>1.0294615384615384</v>
      </c>
      <c r="P1206">
        <f t="shared" si="131"/>
        <v>13191.5</v>
      </c>
      <c r="Q1206" t="str">
        <f t="shared" si="134"/>
        <v>photography</v>
      </c>
      <c r="R1206" t="str">
        <f t="shared" si="135"/>
        <v>photobooks</v>
      </c>
      <c r="S1206" s="9">
        <f t="shared" si="132"/>
        <v>42297.539733796293</v>
      </c>
      <c r="T1206" s="9">
        <f t="shared" si="133"/>
        <v>42341.999999999993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30"/>
        <v>1.0086153846153847</v>
      </c>
      <c r="P1207">
        <f t="shared" si="131"/>
        <v>13056</v>
      </c>
      <c r="Q1207" t="str">
        <f t="shared" si="134"/>
        <v>photography</v>
      </c>
      <c r="R1207" t="str">
        <f t="shared" si="135"/>
        <v>photobooks</v>
      </c>
      <c r="S1207" s="9">
        <f t="shared" si="132"/>
        <v>42138.298043981478</v>
      </c>
      <c r="T1207" s="9">
        <f t="shared" si="133"/>
        <v>42168.298043981478</v>
      </c>
    </row>
    <row r="1208" spans="1:20" ht="43.5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30"/>
        <v>1.1499999999999999</v>
      </c>
      <c r="P1208">
        <f t="shared" si="131"/>
        <v>967.5</v>
      </c>
      <c r="Q1208" t="str">
        <f t="shared" si="134"/>
        <v>photography</v>
      </c>
      <c r="R1208" t="str">
        <f t="shared" si="135"/>
        <v>photobooks</v>
      </c>
      <c r="S1208" s="9">
        <f t="shared" si="132"/>
        <v>42772.567743055552</v>
      </c>
      <c r="T1208" s="9">
        <f t="shared" si="133"/>
        <v>42805.353472222218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30"/>
        <v>1.0416766467065868</v>
      </c>
      <c r="P1209">
        <f t="shared" si="131"/>
        <v>17048</v>
      </c>
      <c r="Q1209" t="str">
        <f t="shared" si="134"/>
        <v>photography</v>
      </c>
      <c r="R1209" t="str">
        <f t="shared" si="135"/>
        <v>photobooks</v>
      </c>
      <c r="S1209" s="9">
        <f t="shared" si="132"/>
        <v>42430.221909722219</v>
      </c>
      <c r="T1209" s="9">
        <f t="shared" si="133"/>
        <v>42460.208333333336</v>
      </c>
    </row>
    <row r="1210" spans="1:20" ht="43.5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30"/>
        <v>1.5529999999999999</v>
      </c>
      <c r="P1210">
        <f t="shared" si="131"/>
        <v>12765</v>
      </c>
      <c r="Q1210" t="str">
        <f t="shared" si="134"/>
        <v>photography</v>
      </c>
      <c r="R1210" t="str">
        <f t="shared" si="135"/>
        <v>photobooks</v>
      </c>
      <c r="S1210" s="9">
        <f t="shared" si="132"/>
        <v>42423.500740740739</v>
      </c>
      <c r="T1210" s="9">
        <f t="shared" si="133"/>
        <v>42453.459074074075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30"/>
        <v>1.06</v>
      </c>
      <c r="P1211">
        <f t="shared" si="131"/>
        <v>6180</v>
      </c>
      <c r="Q1211" t="str">
        <f t="shared" si="134"/>
        <v>photography</v>
      </c>
      <c r="R1211" t="str">
        <f t="shared" si="135"/>
        <v>photobooks</v>
      </c>
      <c r="S1211" s="9">
        <f t="shared" si="132"/>
        <v>42761.637789351851</v>
      </c>
      <c r="T1211" s="9">
        <f t="shared" si="133"/>
        <v>42791.637789351851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30"/>
        <v>2.5431499999999998</v>
      </c>
      <c r="P1212">
        <f t="shared" si="131"/>
        <v>35431.5</v>
      </c>
      <c r="Q1212" t="str">
        <f t="shared" si="134"/>
        <v>photography</v>
      </c>
      <c r="R1212" t="str">
        <f t="shared" si="135"/>
        <v>photobooks</v>
      </c>
      <c r="S1212" s="9">
        <f t="shared" si="132"/>
        <v>42132.733472222222</v>
      </c>
      <c r="T1212" s="9">
        <f t="shared" si="133"/>
        <v>42155.666666666664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30"/>
        <v>1.0109999999999999</v>
      </c>
      <c r="P1213">
        <f t="shared" si="131"/>
        <v>1005.5</v>
      </c>
      <c r="Q1213" t="str">
        <f t="shared" si="134"/>
        <v>photography</v>
      </c>
      <c r="R1213" t="str">
        <f t="shared" si="135"/>
        <v>photobooks</v>
      </c>
      <c r="S1213" s="9">
        <f t="shared" si="132"/>
        <v>42515.658113425925</v>
      </c>
      <c r="T1213" s="9">
        <f t="shared" si="133"/>
        <v>42530.658113425925</v>
      </c>
    </row>
    <row r="1214" spans="1:20" ht="43.5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30"/>
        <v>1.2904</v>
      </c>
      <c r="P1214">
        <f t="shared" si="131"/>
        <v>2863</v>
      </c>
      <c r="Q1214" t="str">
        <f t="shared" si="134"/>
        <v>photography</v>
      </c>
      <c r="R1214" t="str">
        <f t="shared" si="135"/>
        <v>photobooks</v>
      </c>
      <c r="S1214" s="9">
        <f t="shared" si="132"/>
        <v>42318.741840277777</v>
      </c>
      <c r="T1214" s="9">
        <f t="shared" si="133"/>
        <v>42334.833333333336</v>
      </c>
    </row>
    <row r="1215" spans="1:20" ht="43.5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30"/>
        <v>1.0223076923076924</v>
      </c>
      <c r="P1215">
        <f t="shared" si="131"/>
        <v>6572.5</v>
      </c>
      <c r="Q1215" t="str">
        <f t="shared" si="134"/>
        <v>photography</v>
      </c>
      <c r="R1215" t="str">
        <f t="shared" si="135"/>
        <v>photobooks</v>
      </c>
      <c r="S1215" s="9">
        <f t="shared" si="132"/>
        <v>42731.547453703701</v>
      </c>
      <c r="T1215" s="9">
        <f t="shared" si="133"/>
        <v>42766.547453703701</v>
      </c>
    </row>
    <row r="1216" spans="1:20" ht="43.5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30"/>
        <v>1.3180000000000001</v>
      </c>
      <c r="P1216">
        <f t="shared" si="131"/>
        <v>2318</v>
      </c>
      <c r="Q1216" t="str">
        <f t="shared" si="134"/>
        <v>photography</v>
      </c>
      <c r="R1216" t="str">
        <f t="shared" si="135"/>
        <v>photobooks</v>
      </c>
      <c r="S1216" s="9">
        <f t="shared" si="132"/>
        <v>42104.632002314807</v>
      </c>
      <c r="T1216" s="9">
        <f t="shared" si="133"/>
        <v>42164.632002314807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30"/>
        <v>7.8608020000000005</v>
      </c>
      <c r="P1217">
        <f t="shared" si="131"/>
        <v>22152.005000000001</v>
      </c>
      <c r="Q1217" t="str">
        <f t="shared" si="134"/>
        <v>photography</v>
      </c>
      <c r="R1217" t="str">
        <f t="shared" si="135"/>
        <v>photobooks</v>
      </c>
      <c r="S1217" s="9">
        <f t="shared" si="132"/>
        <v>41759.714768518512</v>
      </c>
      <c r="T1217" s="9">
        <f t="shared" si="133"/>
        <v>41789.714768518512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30"/>
        <v>1.4570000000000001</v>
      </c>
      <c r="P1218">
        <f t="shared" si="131"/>
        <v>17199</v>
      </c>
      <c r="Q1218" t="str">
        <f t="shared" si="134"/>
        <v>photography</v>
      </c>
      <c r="R1218" t="str">
        <f t="shared" si="135"/>
        <v>photobooks</v>
      </c>
      <c r="S1218" s="9">
        <f t="shared" si="132"/>
        <v>42247.408067129632</v>
      </c>
      <c r="T1218" s="9">
        <f t="shared" si="133"/>
        <v>42279.752083333333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36">E1219/D1219</f>
        <v>1.026</v>
      </c>
      <c r="P1219">
        <f t="shared" ref="P1219:P1282" si="137">AVERAGE(D1219:E1219)</f>
        <v>26844.5</v>
      </c>
      <c r="Q1219" t="str">
        <f t="shared" si="134"/>
        <v>photography</v>
      </c>
      <c r="R1219" t="str">
        <f t="shared" si="135"/>
        <v>photobooks</v>
      </c>
      <c r="S1219" s="9">
        <f t="shared" ref="S1219:S1282" si="138">J1219/86400+25569+(-5/24)</f>
        <v>42535.6011574074</v>
      </c>
      <c r="T1219" s="9">
        <f t="shared" si="133"/>
        <v>42565.6011574074</v>
      </c>
    </row>
    <row r="1220" spans="1:20" ht="43.5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36"/>
        <v>1.7227777777777777</v>
      </c>
      <c r="P1220">
        <f t="shared" si="137"/>
        <v>12252.5</v>
      </c>
      <c r="Q1220" t="str">
        <f t="shared" si="134"/>
        <v>photography</v>
      </c>
      <c r="R1220" t="str">
        <f t="shared" si="135"/>
        <v>photobooks</v>
      </c>
      <c r="S1220" s="9">
        <f t="shared" si="138"/>
        <v>42278.453703703701</v>
      </c>
      <c r="T1220" s="9">
        <f t="shared" ref="T1220:T1283" si="139">I1220/86400+25569+(-5/24)</f>
        <v>42308.916666666664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36"/>
        <v>1.5916819571865444</v>
      </c>
      <c r="P1221">
        <f t="shared" si="137"/>
        <v>21187</v>
      </c>
      <c r="Q1221" t="str">
        <f t="shared" si="134"/>
        <v>photography</v>
      </c>
      <c r="R1221" t="str">
        <f t="shared" si="135"/>
        <v>photobooks</v>
      </c>
      <c r="S1221" s="9">
        <f t="shared" si="138"/>
        <v>42633.253622685188</v>
      </c>
      <c r="T1221" s="9">
        <f t="shared" si="139"/>
        <v>42663.253622685188</v>
      </c>
    </row>
    <row r="1222" spans="1:20" ht="29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36"/>
        <v>1.0376666666666667</v>
      </c>
      <c r="P1222">
        <f t="shared" si="137"/>
        <v>15282.5</v>
      </c>
      <c r="Q1222" t="str">
        <f t="shared" si="134"/>
        <v>photography</v>
      </c>
      <c r="R1222" t="str">
        <f t="shared" si="135"/>
        <v>photobooks</v>
      </c>
      <c r="S1222" s="9">
        <f t="shared" si="138"/>
        <v>42211.420277777775</v>
      </c>
      <c r="T1222" s="9">
        <f t="shared" si="139"/>
        <v>42241.420277777775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36"/>
        <v>1.1140954545454547</v>
      </c>
      <c r="P1223">
        <f t="shared" si="137"/>
        <v>2325.5050000000001</v>
      </c>
      <c r="Q1223" t="str">
        <f t="shared" si="134"/>
        <v>photography</v>
      </c>
      <c r="R1223" t="str">
        <f t="shared" si="135"/>
        <v>photobooks</v>
      </c>
      <c r="S1223" s="9">
        <f t="shared" si="138"/>
        <v>42680.267222222225</v>
      </c>
      <c r="T1223" s="9">
        <f t="shared" si="139"/>
        <v>42707.791666666664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36"/>
        <v>2.80375</v>
      </c>
      <c r="P1224">
        <f t="shared" si="137"/>
        <v>7607.5</v>
      </c>
      <c r="Q1224" t="str">
        <f t="shared" si="134"/>
        <v>photography</v>
      </c>
      <c r="R1224" t="str">
        <f t="shared" si="135"/>
        <v>photobooks</v>
      </c>
      <c r="S1224" s="9">
        <f t="shared" si="138"/>
        <v>42430.512118055551</v>
      </c>
      <c r="T1224" s="9">
        <f t="shared" si="139"/>
        <v>42460.958333333336</v>
      </c>
    </row>
    <row r="1225" spans="1:20" ht="29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36"/>
        <v>1.1210606060606061</v>
      </c>
      <c r="P1225">
        <f t="shared" si="137"/>
        <v>20998.5</v>
      </c>
      <c r="Q1225" t="str">
        <f t="shared" si="134"/>
        <v>photography</v>
      </c>
      <c r="R1225" t="str">
        <f t="shared" si="135"/>
        <v>photobooks</v>
      </c>
      <c r="S1225" s="9">
        <f t="shared" si="138"/>
        <v>42653.968854166662</v>
      </c>
      <c r="T1225" s="9">
        <f t="shared" si="139"/>
        <v>42684.010520833333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36"/>
        <v>7.0666666666666669E-2</v>
      </c>
      <c r="P1226">
        <f t="shared" si="137"/>
        <v>8030</v>
      </c>
      <c r="Q1226" t="str">
        <f>IF(N1226="music/world music","music")</f>
        <v>music</v>
      </c>
      <c r="R1226" t="str">
        <f>IF(N1226="music/world music","world music")</f>
        <v>world music</v>
      </c>
      <c r="S1226" s="9">
        <f t="shared" si="138"/>
        <v>41736.341458333329</v>
      </c>
      <c r="T1226" s="9">
        <f t="shared" si="139"/>
        <v>41796.341458333329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36"/>
        <v>4.3999999999999997E-2</v>
      </c>
      <c r="P1227">
        <f t="shared" si="137"/>
        <v>1566</v>
      </c>
      <c r="Q1227" t="str">
        <f t="shared" ref="Q1227:Q1245" si="140">IF(N1227="music/world music","music")</f>
        <v>music</v>
      </c>
      <c r="R1227" t="str">
        <f t="shared" ref="R1227:R1245" si="141">IF(N1227="music/world music","world music")</f>
        <v>world music</v>
      </c>
      <c r="S1227" s="9">
        <f t="shared" si="138"/>
        <v>41509.697662037033</v>
      </c>
      <c r="T1227" s="9">
        <f t="shared" si="139"/>
        <v>41569.697662037033</v>
      </c>
    </row>
    <row r="1228" spans="1:20" ht="29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36"/>
        <v>3.8739999999999997E-2</v>
      </c>
      <c r="P1228">
        <f t="shared" si="137"/>
        <v>25968.5</v>
      </c>
      <c r="Q1228" t="str">
        <f t="shared" si="140"/>
        <v>music</v>
      </c>
      <c r="R1228" t="str">
        <f t="shared" si="141"/>
        <v>world music</v>
      </c>
      <c r="S1228" s="9">
        <f t="shared" si="138"/>
        <v>41715.666446759256</v>
      </c>
      <c r="T1228" s="9">
        <f t="shared" si="139"/>
        <v>41749.833333333328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36"/>
        <v>0</v>
      </c>
      <c r="P1229">
        <f t="shared" si="137"/>
        <v>1000</v>
      </c>
      <c r="Q1229" t="str">
        <f t="shared" si="140"/>
        <v>music</v>
      </c>
      <c r="R1229" t="str">
        <f t="shared" si="141"/>
        <v>world music</v>
      </c>
      <c r="S1229" s="9">
        <f t="shared" si="138"/>
        <v>41827.710833333331</v>
      </c>
      <c r="T1229" s="9">
        <f t="shared" si="139"/>
        <v>41858.083333333328</v>
      </c>
    </row>
    <row r="1230" spans="1:20" ht="29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36"/>
        <v>0.29299999999999998</v>
      </c>
      <c r="P1230">
        <f t="shared" si="137"/>
        <v>3232.5</v>
      </c>
      <c r="Q1230" t="str">
        <f t="shared" si="140"/>
        <v>music</v>
      </c>
      <c r="R1230" t="str">
        <f t="shared" si="141"/>
        <v>world music</v>
      </c>
      <c r="S1230" s="9">
        <f t="shared" si="138"/>
        <v>40754.520925925921</v>
      </c>
      <c r="T1230" s="9">
        <f t="shared" si="139"/>
        <v>40814.520925925921</v>
      </c>
    </row>
    <row r="1231" spans="1:20" ht="43.5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36"/>
        <v>9.0909090909090905E-3</v>
      </c>
      <c r="P1231">
        <f t="shared" si="137"/>
        <v>1387.5</v>
      </c>
      <c r="Q1231" t="str">
        <f t="shared" si="140"/>
        <v>music</v>
      </c>
      <c r="R1231" t="str">
        <f t="shared" si="141"/>
        <v>world music</v>
      </c>
      <c r="S1231" s="9">
        <f t="shared" si="138"/>
        <v>40985.251469907402</v>
      </c>
      <c r="T1231" s="9">
        <f t="shared" si="139"/>
        <v>41015.458333333328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36"/>
        <v>0</v>
      </c>
      <c r="P1232">
        <f t="shared" si="137"/>
        <v>250000</v>
      </c>
      <c r="Q1232" t="str">
        <f t="shared" si="140"/>
        <v>music</v>
      </c>
      <c r="R1232" t="str">
        <f t="shared" si="141"/>
        <v>world music</v>
      </c>
      <c r="S1232" s="9">
        <f t="shared" si="138"/>
        <v>40568.764236111107</v>
      </c>
      <c r="T1232" s="9">
        <f t="shared" si="139"/>
        <v>40598.764236111107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36"/>
        <v>0</v>
      </c>
      <c r="P1233">
        <f t="shared" si="137"/>
        <v>2500</v>
      </c>
      <c r="Q1233" t="str">
        <f t="shared" si="140"/>
        <v>music</v>
      </c>
      <c r="R1233" t="str">
        <f t="shared" si="141"/>
        <v>world music</v>
      </c>
      <c r="S1233" s="9">
        <f t="shared" si="138"/>
        <v>42193.733425925922</v>
      </c>
      <c r="T1233" s="9">
        <f t="shared" si="139"/>
        <v>42243.833333333336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36"/>
        <v>8.0000000000000002E-3</v>
      </c>
      <c r="P1234">
        <f t="shared" si="137"/>
        <v>2520</v>
      </c>
      <c r="Q1234" t="str">
        <f t="shared" si="140"/>
        <v>music</v>
      </c>
      <c r="R1234" t="str">
        <f t="shared" si="141"/>
        <v>world music</v>
      </c>
      <c r="S1234" s="9">
        <f t="shared" si="138"/>
        <v>41506.639699074069</v>
      </c>
      <c r="T1234" s="9">
        <f t="shared" si="139"/>
        <v>41553.639699074069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36"/>
        <v>0.11600000000000001</v>
      </c>
      <c r="P1235">
        <f t="shared" si="137"/>
        <v>558</v>
      </c>
      <c r="Q1235" t="str">
        <f t="shared" si="140"/>
        <v>music</v>
      </c>
      <c r="R1235" t="str">
        <f t="shared" si="141"/>
        <v>world music</v>
      </c>
      <c r="S1235" s="9">
        <f t="shared" si="138"/>
        <v>40939.740439814814</v>
      </c>
      <c r="T1235" s="9">
        <f t="shared" si="139"/>
        <v>40960.740439814814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36"/>
        <v>0</v>
      </c>
      <c r="P1236">
        <f t="shared" si="137"/>
        <v>25000</v>
      </c>
      <c r="Q1236" t="str">
        <f t="shared" si="140"/>
        <v>music</v>
      </c>
      <c r="R1236" t="str">
        <f t="shared" si="141"/>
        <v>world music</v>
      </c>
      <c r="S1236" s="9">
        <f t="shared" si="138"/>
        <v>42007.580347222225</v>
      </c>
      <c r="T1236" s="9">
        <f t="shared" si="139"/>
        <v>42037.580347222225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36"/>
        <v>2.787363950092912E-2</v>
      </c>
      <c r="P1237">
        <f t="shared" si="137"/>
        <v>3872</v>
      </c>
      <c r="Q1237" t="str">
        <f t="shared" si="140"/>
        <v>music</v>
      </c>
      <c r="R1237" t="str">
        <f t="shared" si="141"/>
        <v>world music</v>
      </c>
      <c r="S1237" s="9">
        <f t="shared" si="138"/>
        <v>41582.927071759259</v>
      </c>
      <c r="T1237" s="9">
        <f t="shared" si="139"/>
        <v>41622.927071759259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36"/>
        <v>0</v>
      </c>
      <c r="P1238">
        <f t="shared" si="137"/>
        <v>1250</v>
      </c>
      <c r="Q1238" t="str">
        <f t="shared" si="140"/>
        <v>music</v>
      </c>
      <c r="R1238" t="str">
        <f t="shared" si="141"/>
        <v>world music</v>
      </c>
      <c r="S1238" s="9">
        <f t="shared" si="138"/>
        <v>41110.47180555555</v>
      </c>
      <c r="T1238" s="9">
        <f t="shared" si="139"/>
        <v>41118.458333333328</v>
      </c>
    </row>
    <row r="1239" spans="1:20" ht="43.5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36"/>
        <v>0</v>
      </c>
      <c r="P1239">
        <f t="shared" si="137"/>
        <v>12500</v>
      </c>
      <c r="Q1239" t="str">
        <f t="shared" si="140"/>
        <v>music</v>
      </c>
      <c r="R1239" t="str">
        <f t="shared" si="141"/>
        <v>world music</v>
      </c>
      <c r="S1239" s="9">
        <f t="shared" si="138"/>
        <v>41125.074826388889</v>
      </c>
      <c r="T1239" s="9">
        <f t="shared" si="139"/>
        <v>41145.074826388889</v>
      </c>
    </row>
    <row r="1240" spans="1:20" ht="43.5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36"/>
        <v>0.17799999999999999</v>
      </c>
      <c r="P1240">
        <f t="shared" si="137"/>
        <v>589</v>
      </c>
      <c r="Q1240" t="str">
        <f t="shared" si="140"/>
        <v>music</v>
      </c>
      <c r="R1240" t="str">
        <f t="shared" si="141"/>
        <v>world music</v>
      </c>
      <c r="S1240" s="9">
        <f t="shared" si="138"/>
        <v>40731.402037037034</v>
      </c>
      <c r="T1240" s="9">
        <f t="shared" si="139"/>
        <v>40761.402037037034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36"/>
        <v>0</v>
      </c>
      <c r="P1241">
        <f t="shared" si="137"/>
        <v>1250</v>
      </c>
      <c r="Q1241" t="str">
        <f t="shared" si="140"/>
        <v>music</v>
      </c>
      <c r="R1241" t="str">
        <f t="shared" si="141"/>
        <v>world music</v>
      </c>
      <c r="S1241" s="9">
        <f t="shared" si="138"/>
        <v>40883.754247685181</v>
      </c>
      <c r="T1241" s="9">
        <f t="shared" si="139"/>
        <v>40913.754247685181</v>
      </c>
    </row>
    <row r="1242" spans="1:20" ht="29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36"/>
        <v>3.0124999999999999E-2</v>
      </c>
      <c r="P1242">
        <f t="shared" si="137"/>
        <v>4120.5</v>
      </c>
      <c r="Q1242" t="str">
        <f t="shared" si="140"/>
        <v>music</v>
      </c>
      <c r="R1242" t="str">
        <f t="shared" si="141"/>
        <v>world music</v>
      </c>
      <c r="S1242" s="9">
        <f t="shared" si="138"/>
        <v>41408.831678240742</v>
      </c>
      <c r="T1242" s="9">
        <f t="shared" si="139"/>
        <v>41467.70208333333</v>
      </c>
    </row>
    <row r="1243" spans="1:20" ht="43.5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36"/>
        <v>0.50739999999999996</v>
      </c>
      <c r="P1243">
        <f t="shared" si="137"/>
        <v>3768.5</v>
      </c>
      <c r="Q1243" t="str">
        <f t="shared" si="140"/>
        <v>music</v>
      </c>
      <c r="R1243" t="str">
        <f t="shared" si="141"/>
        <v>world music</v>
      </c>
      <c r="S1243" s="9">
        <f t="shared" si="138"/>
        <v>41923.629398148143</v>
      </c>
      <c r="T1243" s="9">
        <f t="shared" si="139"/>
        <v>41946.040972222218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36"/>
        <v>5.4884742041712408E-3</v>
      </c>
      <c r="P1244">
        <f t="shared" si="137"/>
        <v>458</v>
      </c>
      <c r="Q1244" t="str">
        <f t="shared" si="140"/>
        <v>music</v>
      </c>
      <c r="R1244" t="str">
        <f t="shared" si="141"/>
        <v>world music</v>
      </c>
      <c r="S1244" s="9">
        <f t="shared" si="138"/>
        <v>40781.957199074073</v>
      </c>
      <c r="T1244" s="9">
        <f t="shared" si="139"/>
        <v>40797.345833333333</v>
      </c>
    </row>
    <row r="1245" spans="1:20" ht="29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36"/>
        <v>0.14091666666666666</v>
      </c>
      <c r="P1245">
        <f t="shared" si="137"/>
        <v>6845.5</v>
      </c>
      <c r="Q1245" t="str">
        <f t="shared" si="140"/>
        <v>music</v>
      </c>
      <c r="R1245" t="str">
        <f t="shared" si="141"/>
        <v>world music</v>
      </c>
      <c r="S1245" s="9">
        <f t="shared" si="138"/>
        <v>40671.670960648145</v>
      </c>
      <c r="T1245" s="9">
        <f t="shared" si="139"/>
        <v>40732.666666666664</v>
      </c>
    </row>
    <row r="1246" spans="1:20" ht="29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36"/>
        <v>1.038</v>
      </c>
      <c r="P1246">
        <f t="shared" si="137"/>
        <v>2038</v>
      </c>
      <c r="Q1246" t="str">
        <f>IF(N1246="music/rock","music")</f>
        <v>music</v>
      </c>
      <c r="R1246" t="str">
        <f>IF(N1246="music/rock","rock")</f>
        <v>rock</v>
      </c>
      <c r="S1246" s="9">
        <f t="shared" si="138"/>
        <v>41355.617164351854</v>
      </c>
      <c r="T1246" s="9">
        <f t="shared" si="139"/>
        <v>41386.666666666664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36"/>
        <v>1.2024999999999999</v>
      </c>
      <c r="P1247">
        <f t="shared" si="137"/>
        <v>2202.5</v>
      </c>
      <c r="Q1247" t="str">
        <f t="shared" ref="Q1247:Q1285" si="142">IF(N1247="music/rock","music")</f>
        <v>music</v>
      </c>
      <c r="R1247" t="str">
        <f t="shared" ref="R1247:R1285" si="143">IF(N1247="music/rock","rock")</f>
        <v>rock</v>
      </c>
      <c r="S1247" s="9">
        <f t="shared" si="138"/>
        <v>41774.391597222224</v>
      </c>
      <c r="T1247" s="9">
        <f t="shared" si="139"/>
        <v>41804.391597222224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36"/>
        <v>1.17</v>
      </c>
      <c r="P1248">
        <f t="shared" si="137"/>
        <v>2170</v>
      </c>
      <c r="Q1248" t="str">
        <f t="shared" si="142"/>
        <v>music</v>
      </c>
      <c r="R1248" t="str">
        <f t="shared" si="143"/>
        <v>rock</v>
      </c>
      <c r="S1248" s="9">
        <f t="shared" si="138"/>
        <v>40837.835057870368</v>
      </c>
      <c r="T1248" s="9">
        <f t="shared" si="139"/>
        <v>40882.876724537033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36"/>
        <v>1.2214285714285715</v>
      </c>
      <c r="P1249">
        <f t="shared" si="137"/>
        <v>3887.5</v>
      </c>
      <c r="Q1249" t="str">
        <f t="shared" si="142"/>
        <v>music</v>
      </c>
      <c r="R1249" t="str">
        <f t="shared" si="143"/>
        <v>rock</v>
      </c>
      <c r="S1249" s="9">
        <f t="shared" si="138"/>
        <v>41370.083969907406</v>
      </c>
      <c r="T1249" s="9">
        <f t="shared" si="139"/>
        <v>41400.083969907406</v>
      </c>
    </row>
    <row r="1250" spans="1:20" ht="29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36"/>
        <v>1.5164</v>
      </c>
      <c r="P1250">
        <f t="shared" si="137"/>
        <v>3145.5</v>
      </c>
      <c r="Q1250" t="str">
        <f t="shared" si="142"/>
        <v>music</v>
      </c>
      <c r="R1250" t="str">
        <f t="shared" si="143"/>
        <v>rock</v>
      </c>
      <c r="S1250" s="9">
        <f t="shared" si="138"/>
        <v>41767.448530092588</v>
      </c>
      <c r="T1250" s="9">
        <f t="shared" si="139"/>
        <v>41803.082638888889</v>
      </c>
    </row>
    <row r="1251" spans="1:20" ht="29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36"/>
        <v>1.0444</v>
      </c>
      <c r="P1251">
        <f t="shared" si="137"/>
        <v>5111</v>
      </c>
      <c r="Q1251" t="str">
        <f t="shared" si="142"/>
        <v>music</v>
      </c>
      <c r="R1251" t="str">
        <f t="shared" si="143"/>
        <v>rock</v>
      </c>
      <c r="S1251" s="9">
        <f t="shared" si="138"/>
        <v>41067.532534722217</v>
      </c>
      <c r="T1251" s="9">
        <f t="shared" si="139"/>
        <v>41097.532534722217</v>
      </c>
    </row>
    <row r="1252" spans="1:20" ht="43.5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36"/>
        <v>2.0015333333333332</v>
      </c>
      <c r="P1252">
        <f t="shared" si="137"/>
        <v>45023</v>
      </c>
      <c r="Q1252" t="str">
        <f t="shared" si="142"/>
        <v>music</v>
      </c>
      <c r="R1252" t="str">
        <f t="shared" si="143"/>
        <v>rock</v>
      </c>
      <c r="S1252" s="9">
        <f t="shared" si="138"/>
        <v>41843.434386574074</v>
      </c>
      <c r="T1252" s="9">
        <f t="shared" si="139"/>
        <v>41888.434386574074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36"/>
        <v>1.018</v>
      </c>
      <c r="P1253">
        <f t="shared" si="137"/>
        <v>6054</v>
      </c>
      <c r="Q1253" t="str">
        <f t="shared" si="142"/>
        <v>music</v>
      </c>
      <c r="R1253" t="str">
        <f t="shared" si="143"/>
        <v>rock</v>
      </c>
      <c r="S1253" s="9">
        <f t="shared" si="138"/>
        <v>40751.606099537035</v>
      </c>
      <c r="T1253" s="9">
        <f t="shared" si="139"/>
        <v>40811.606099537035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36"/>
        <v>1.3765714285714286</v>
      </c>
      <c r="P1254">
        <f t="shared" si="137"/>
        <v>4159</v>
      </c>
      <c r="Q1254" t="str">
        <f t="shared" si="142"/>
        <v>music</v>
      </c>
      <c r="R1254" t="str">
        <f t="shared" si="143"/>
        <v>rock</v>
      </c>
      <c r="S1254" s="9">
        <f t="shared" si="138"/>
        <v>41543.779733796291</v>
      </c>
      <c r="T1254" s="9">
        <f t="shared" si="139"/>
        <v>41571.779733796291</v>
      </c>
    </row>
    <row r="1255" spans="1:20" ht="43.5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36"/>
        <v>3038.3319999999999</v>
      </c>
      <c r="P1255">
        <f t="shared" si="137"/>
        <v>15196.66</v>
      </c>
      <c r="Q1255" t="str">
        <f t="shared" si="142"/>
        <v>music</v>
      </c>
      <c r="R1255" t="str">
        <f t="shared" si="143"/>
        <v>rock</v>
      </c>
      <c r="S1255" s="9">
        <f t="shared" si="138"/>
        <v>41855.575312499997</v>
      </c>
      <c r="T1255" s="9">
        <f t="shared" si="139"/>
        <v>41885.575312499997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36"/>
        <v>1.9885074626865671</v>
      </c>
      <c r="P1256">
        <f t="shared" si="137"/>
        <v>10011.5</v>
      </c>
      <c r="Q1256" t="str">
        <f t="shared" si="142"/>
        <v>music</v>
      </c>
      <c r="R1256" t="str">
        <f t="shared" si="143"/>
        <v>rock</v>
      </c>
      <c r="S1256" s="9">
        <f t="shared" si="138"/>
        <v>40487.413032407407</v>
      </c>
      <c r="T1256" s="9">
        <f t="shared" si="139"/>
        <v>40543.999305555553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36"/>
        <v>2.0236666666666667</v>
      </c>
      <c r="P1257">
        <f t="shared" si="137"/>
        <v>4535.5</v>
      </c>
      <c r="Q1257" t="str">
        <f t="shared" si="142"/>
        <v>music</v>
      </c>
      <c r="R1257" t="str">
        <f t="shared" si="143"/>
        <v>rock</v>
      </c>
      <c r="S1257" s="9">
        <f t="shared" si="138"/>
        <v>41579.637175925927</v>
      </c>
      <c r="T1257" s="9">
        <f t="shared" si="139"/>
        <v>41609.678842592592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36"/>
        <v>1.1796376666666666</v>
      </c>
      <c r="P1258">
        <f t="shared" si="137"/>
        <v>32694.564999999999</v>
      </c>
      <c r="Q1258" t="str">
        <f t="shared" si="142"/>
        <v>music</v>
      </c>
      <c r="R1258" t="str">
        <f t="shared" si="143"/>
        <v>rock</v>
      </c>
      <c r="S1258" s="9">
        <f t="shared" si="138"/>
        <v>40921.711006944439</v>
      </c>
      <c r="T1258" s="9">
        <f t="shared" si="139"/>
        <v>40951.711006944439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36"/>
        <v>2.9472727272727273</v>
      </c>
      <c r="P1259">
        <f t="shared" si="137"/>
        <v>10855</v>
      </c>
      <c r="Q1259" t="str">
        <f t="shared" si="142"/>
        <v>music</v>
      </c>
      <c r="R1259" t="str">
        <f t="shared" si="143"/>
        <v>rock</v>
      </c>
      <c r="S1259" s="9">
        <f t="shared" si="138"/>
        <v>40586.877199074072</v>
      </c>
      <c r="T1259" s="9">
        <f t="shared" si="139"/>
        <v>40635.835532407407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36"/>
        <v>2.1314633333333335</v>
      </c>
      <c r="P1260">
        <f t="shared" si="137"/>
        <v>18788.78</v>
      </c>
      <c r="Q1260" t="str">
        <f t="shared" si="142"/>
        <v>music</v>
      </c>
      <c r="R1260" t="str">
        <f t="shared" si="143"/>
        <v>rock</v>
      </c>
      <c r="S1260" s="9">
        <f t="shared" si="138"/>
        <v>41487.402916666666</v>
      </c>
      <c r="T1260" s="9">
        <f t="shared" si="139"/>
        <v>41517.402916666666</v>
      </c>
    </row>
    <row r="1261" spans="1:20" ht="29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36"/>
        <v>1.0424</v>
      </c>
      <c r="P1261">
        <f t="shared" si="137"/>
        <v>2553</v>
      </c>
      <c r="Q1261" t="str">
        <f t="shared" si="142"/>
        <v>music</v>
      </c>
      <c r="R1261" t="str">
        <f t="shared" si="143"/>
        <v>rock</v>
      </c>
      <c r="S1261" s="9">
        <f t="shared" si="138"/>
        <v>41766.762314814812</v>
      </c>
      <c r="T1261" s="9">
        <f t="shared" si="139"/>
        <v>41798.957638888889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36"/>
        <v>1.1366666666666667</v>
      </c>
      <c r="P1262">
        <f t="shared" si="137"/>
        <v>3525.5</v>
      </c>
      <c r="Q1262" t="str">
        <f t="shared" si="142"/>
        <v>music</v>
      </c>
      <c r="R1262" t="str">
        <f t="shared" si="143"/>
        <v>rock</v>
      </c>
      <c r="S1262" s="9">
        <f t="shared" si="138"/>
        <v>41666.63449074074</v>
      </c>
      <c r="T1262" s="9">
        <f t="shared" si="139"/>
        <v>41696.63449074074</v>
      </c>
    </row>
    <row r="1263" spans="1:20" ht="29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36"/>
        <v>1.0125</v>
      </c>
      <c r="P1263">
        <f t="shared" si="137"/>
        <v>2012.5</v>
      </c>
      <c r="Q1263" t="str">
        <f t="shared" si="142"/>
        <v>music</v>
      </c>
      <c r="R1263" t="str">
        <f t="shared" si="143"/>
        <v>rock</v>
      </c>
      <c r="S1263" s="9">
        <f t="shared" si="138"/>
        <v>41638.134571759256</v>
      </c>
      <c r="T1263" s="9">
        <f t="shared" si="139"/>
        <v>41668.134571759256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36"/>
        <v>1.2541538461538462</v>
      </c>
      <c r="P1264">
        <f t="shared" si="137"/>
        <v>7326</v>
      </c>
      <c r="Q1264" t="str">
        <f t="shared" si="142"/>
        <v>music</v>
      </c>
      <c r="R1264" t="str">
        <f t="shared" si="143"/>
        <v>rock</v>
      </c>
      <c r="S1264" s="9">
        <f t="shared" si="138"/>
        <v>41656.554305555554</v>
      </c>
      <c r="T1264" s="9">
        <f t="shared" si="139"/>
        <v>41686.554305555554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36"/>
        <v>1.19</v>
      </c>
      <c r="P1265">
        <f t="shared" si="137"/>
        <v>1642.5</v>
      </c>
      <c r="Q1265" t="str">
        <f t="shared" si="142"/>
        <v>music</v>
      </c>
      <c r="R1265" t="str">
        <f t="shared" si="143"/>
        <v>rock</v>
      </c>
      <c r="S1265" s="9">
        <f t="shared" si="138"/>
        <v>41691.875810185185</v>
      </c>
      <c r="T1265" s="9">
        <f t="shared" si="139"/>
        <v>41726.833333333328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36"/>
        <v>1.6646153846153846</v>
      </c>
      <c r="P1266">
        <f t="shared" si="137"/>
        <v>866</v>
      </c>
      <c r="Q1266" t="str">
        <f t="shared" si="142"/>
        <v>music</v>
      </c>
      <c r="R1266" t="str">
        <f t="shared" si="143"/>
        <v>rock</v>
      </c>
      <c r="S1266" s="9">
        <f t="shared" si="138"/>
        <v>41547.454664351848</v>
      </c>
      <c r="T1266" s="9">
        <f t="shared" si="139"/>
        <v>41576.454664351848</v>
      </c>
    </row>
    <row r="1267" spans="1:20" ht="43.5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36"/>
        <v>1.1914771428571429</v>
      </c>
      <c r="P1267">
        <f t="shared" si="137"/>
        <v>3835.085</v>
      </c>
      <c r="Q1267" t="str">
        <f t="shared" si="142"/>
        <v>music</v>
      </c>
      <c r="R1267" t="str">
        <f t="shared" si="143"/>
        <v>rock</v>
      </c>
      <c r="S1267" s="9">
        <f t="shared" si="138"/>
        <v>40465.446932870364</v>
      </c>
      <c r="T1267" s="9">
        <f t="shared" si="139"/>
        <v>40512.446932870364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36"/>
        <v>1.0047368421052632</v>
      </c>
      <c r="P1268">
        <f t="shared" si="137"/>
        <v>9522.5</v>
      </c>
      <c r="Q1268" t="str">
        <f t="shared" si="142"/>
        <v>music</v>
      </c>
      <c r="R1268" t="str">
        <f t="shared" si="143"/>
        <v>rock</v>
      </c>
      <c r="S1268" s="9">
        <f t="shared" si="138"/>
        <v>41620.668344907404</v>
      </c>
      <c r="T1268" s="9">
        <f t="shared" si="139"/>
        <v>41650.668344907404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36"/>
        <v>1.018</v>
      </c>
      <c r="P1269">
        <f t="shared" si="137"/>
        <v>22198</v>
      </c>
      <c r="Q1269" t="str">
        <f t="shared" si="142"/>
        <v>music</v>
      </c>
      <c r="R1269" t="str">
        <f t="shared" si="143"/>
        <v>rock</v>
      </c>
      <c r="S1269" s="9">
        <f t="shared" si="138"/>
        <v>41449.376828703702</v>
      </c>
      <c r="T1269" s="9">
        <f t="shared" si="139"/>
        <v>41479.376828703702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36"/>
        <v>1.1666666666666667</v>
      </c>
      <c r="P1270">
        <f t="shared" si="137"/>
        <v>13000</v>
      </c>
      <c r="Q1270" t="str">
        <f t="shared" si="142"/>
        <v>music</v>
      </c>
      <c r="R1270" t="str">
        <f t="shared" si="143"/>
        <v>rock</v>
      </c>
      <c r="S1270" s="9">
        <f t="shared" si="138"/>
        <v>41507.637118055551</v>
      </c>
      <c r="T1270" s="9">
        <f t="shared" si="139"/>
        <v>41537.637118055551</v>
      </c>
    </row>
    <row r="1271" spans="1:20" ht="43.5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36"/>
        <v>1.0864893617021276</v>
      </c>
      <c r="P1271">
        <f t="shared" si="137"/>
        <v>19613</v>
      </c>
      <c r="Q1271" t="str">
        <f t="shared" si="142"/>
        <v>music</v>
      </c>
      <c r="R1271" t="str">
        <f t="shared" si="143"/>
        <v>rock</v>
      </c>
      <c r="S1271" s="9">
        <f t="shared" si="138"/>
        <v>42445.614722222221</v>
      </c>
      <c r="T1271" s="9">
        <f t="shared" si="139"/>
        <v>42475.791666666664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36"/>
        <v>1.1472</v>
      </c>
      <c r="P1272">
        <f t="shared" si="137"/>
        <v>10736</v>
      </c>
      <c r="Q1272" t="str">
        <f t="shared" si="142"/>
        <v>music</v>
      </c>
      <c r="R1272" t="str">
        <f t="shared" si="143"/>
        <v>rock</v>
      </c>
      <c r="S1272" s="9">
        <f t="shared" si="138"/>
        <v>40933.648634259254</v>
      </c>
      <c r="T1272" s="9">
        <f t="shared" si="139"/>
        <v>40993.60696759259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36"/>
        <v>1.018</v>
      </c>
      <c r="P1273">
        <f t="shared" si="137"/>
        <v>7567.5</v>
      </c>
      <c r="Q1273" t="str">
        <f t="shared" si="142"/>
        <v>music</v>
      </c>
      <c r="R1273" t="str">
        <f t="shared" si="143"/>
        <v>rock</v>
      </c>
      <c r="S1273" s="9">
        <f t="shared" si="138"/>
        <v>41561.475219907406</v>
      </c>
      <c r="T1273" s="9">
        <f t="shared" si="139"/>
        <v>41591.516886574071</v>
      </c>
    </row>
    <row r="1274" spans="1:20" ht="43.5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36"/>
        <v>1.06</v>
      </c>
      <c r="P1274">
        <f t="shared" si="137"/>
        <v>5150</v>
      </c>
      <c r="Q1274" t="str">
        <f t="shared" si="142"/>
        <v>music</v>
      </c>
      <c r="R1274" t="str">
        <f t="shared" si="143"/>
        <v>rock</v>
      </c>
      <c r="S1274" s="9">
        <f t="shared" si="138"/>
        <v>40274.536793981482</v>
      </c>
      <c r="T1274" s="9">
        <f t="shared" si="139"/>
        <v>40343.958333333328</v>
      </c>
    </row>
    <row r="1275" spans="1:20" ht="29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36"/>
        <v>1.0349999999999999</v>
      </c>
      <c r="P1275">
        <f t="shared" si="137"/>
        <v>4070</v>
      </c>
      <c r="Q1275" t="str">
        <f t="shared" si="142"/>
        <v>music</v>
      </c>
      <c r="R1275" t="str">
        <f t="shared" si="143"/>
        <v>rock</v>
      </c>
      <c r="S1275" s="9">
        <f t="shared" si="138"/>
        <v>41852.521886574068</v>
      </c>
      <c r="T1275" s="9">
        <f t="shared" si="139"/>
        <v>41882.521886574068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36"/>
        <v>1.5497535999999998</v>
      </c>
      <c r="P1276">
        <f t="shared" si="137"/>
        <v>31871.919999999998</v>
      </c>
      <c r="Q1276" t="str">
        <f t="shared" si="142"/>
        <v>music</v>
      </c>
      <c r="R1276" t="str">
        <f t="shared" si="143"/>
        <v>rock</v>
      </c>
      <c r="S1276" s="9">
        <f t="shared" si="138"/>
        <v>41116.481770833328</v>
      </c>
      <c r="T1276" s="9">
        <f t="shared" si="139"/>
        <v>41151.481770833328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36"/>
        <v>1.6214066666666667</v>
      </c>
      <c r="P1277">
        <f t="shared" si="137"/>
        <v>19660.55</v>
      </c>
      <c r="Q1277" t="str">
        <f t="shared" si="142"/>
        <v>music</v>
      </c>
      <c r="R1277" t="str">
        <f t="shared" si="143"/>
        <v>rock</v>
      </c>
      <c r="S1277" s="9">
        <f t="shared" si="138"/>
        <v>41458.659571759257</v>
      </c>
      <c r="T1277" s="9">
        <f t="shared" si="139"/>
        <v>41493.659571759257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36"/>
        <v>1.0442100000000001</v>
      </c>
      <c r="P1278">
        <f t="shared" si="137"/>
        <v>3066.3150000000001</v>
      </c>
      <c r="Q1278" t="str">
        <f t="shared" si="142"/>
        <v>music</v>
      </c>
      <c r="R1278" t="str">
        <f t="shared" si="143"/>
        <v>rock</v>
      </c>
      <c r="S1278" s="9">
        <f t="shared" si="138"/>
        <v>40007.49591435185</v>
      </c>
      <c r="T1278" s="9">
        <f t="shared" si="139"/>
        <v>40056.958333333328</v>
      </c>
    </row>
    <row r="1279" spans="1:20" ht="43.5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36"/>
        <v>1.0612433333333333</v>
      </c>
      <c r="P1279">
        <f t="shared" si="137"/>
        <v>15459.325000000001</v>
      </c>
      <c r="Q1279" t="str">
        <f t="shared" si="142"/>
        <v>music</v>
      </c>
      <c r="R1279" t="str">
        <f t="shared" si="143"/>
        <v>rock</v>
      </c>
      <c r="S1279" s="9">
        <f t="shared" si="138"/>
        <v>41121.35355324074</v>
      </c>
      <c r="T1279" s="9">
        <f t="shared" si="139"/>
        <v>41156.35355324074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36"/>
        <v>1.5493846153846154</v>
      </c>
      <c r="P1280">
        <f t="shared" si="137"/>
        <v>8285.5</v>
      </c>
      <c r="Q1280" t="str">
        <f t="shared" si="142"/>
        <v>music</v>
      </c>
      <c r="R1280" t="str">
        <f t="shared" si="143"/>
        <v>rock</v>
      </c>
      <c r="S1280" s="9">
        <f t="shared" si="138"/>
        <v>41786.346828703703</v>
      </c>
      <c r="T1280" s="9">
        <f t="shared" si="139"/>
        <v>41814.875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36"/>
        <v>1.1077157238734421</v>
      </c>
      <c r="P1281">
        <f t="shared" si="137"/>
        <v>13190.084999999999</v>
      </c>
      <c r="Q1281" t="str">
        <f t="shared" si="142"/>
        <v>music</v>
      </c>
      <c r="R1281" t="str">
        <f t="shared" si="143"/>
        <v>rock</v>
      </c>
      <c r="S1281" s="9">
        <f t="shared" si="138"/>
        <v>41681.890856481477</v>
      </c>
      <c r="T1281" s="9">
        <f t="shared" si="139"/>
        <v>41721.849189814813</v>
      </c>
    </row>
    <row r="1282" spans="1:20" ht="29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36"/>
        <v>1.1091186666666666</v>
      </c>
      <c r="P1282">
        <f t="shared" si="137"/>
        <v>15818.39</v>
      </c>
      <c r="Q1282" t="str">
        <f t="shared" si="142"/>
        <v>music</v>
      </c>
      <c r="R1282" t="str">
        <f t="shared" si="143"/>
        <v>rock</v>
      </c>
      <c r="S1282" s="9">
        <f t="shared" si="138"/>
        <v>40513.54923611111</v>
      </c>
      <c r="T1282" s="9">
        <f t="shared" si="139"/>
        <v>40603.54923611111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44">E1283/D1283</f>
        <v>1.1071428571428572</v>
      </c>
      <c r="P1283">
        <f t="shared" ref="P1283:P1346" si="145">AVERAGE(D1283:E1283)</f>
        <v>7375</v>
      </c>
      <c r="Q1283" t="str">
        <f t="shared" si="142"/>
        <v>music</v>
      </c>
      <c r="R1283" t="str">
        <f t="shared" si="143"/>
        <v>rock</v>
      </c>
      <c r="S1283" s="9">
        <f t="shared" ref="S1283:S1346" si="146">J1283/86400+25569+(-5/24)</f>
        <v>41463.535138888888</v>
      </c>
      <c r="T1283" s="9">
        <f t="shared" si="139"/>
        <v>41483.535138888888</v>
      </c>
    </row>
    <row r="1284" spans="1:20" ht="43.5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44"/>
        <v>1.2361333333333333</v>
      </c>
      <c r="P1284">
        <f t="shared" si="145"/>
        <v>16771</v>
      </c>
      <c r="Q1284" t="str">
        <f t="shared" si="142"/>
        <v>music</v>
      </c>
      <c r="R1284" t="str">
        <f t="shared" si="143"/>
        <v>rock</v>
      </c>
      <c r="S1284" s="9">
        <f t="shared" si="146"/>
        <v>41586.266840277771</v>
      </c>
      <c r="T1284" s="9">
        <f t="shared" ref="T1284:T1347" si="147">I1284/86400+25569+(-5/24)</f>
        <v>41616.999305555553</v>
      </c>
    </row>
    <row r="1285" spans="1:20" ht="29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44"/>
        <v>2.1105</v>
      </c>
      <c r="P1285">
        <f t="shared" si="145"/>
        <v>1555.25</v>
      </c>
      <c r="Q1285" t="str">
        <f t="shared" si="142"/>
        <v>music</v>
      </c>
      <c r="R1285" t="str">
        <f t="shared" si="143"/>
        <v>rock</v>
      </c>
      <c r="S1285" s="9">
        <f t="shared" si="146"/>
        <v>41320.50913194444</v>
      </c>
      <c r="T1285" s="9">
        <f t="shared" si="147"/>
        <v>41343.958333333328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44"/>
        <v>1.01</v>
      </c>
      <c r="P1286">
        <f t="shared" si="145"/>
        <v>2010</v>
      </c>
      <c r="Q1286" t="str">
        <f>IF(N1286="theater/plays","theater")</f>
        <v>theater</v>
      </c>
      <c r="R1286" t="str">
        <f>IF(N1286="theater/plays","plays")</f>
        <v>plays</v>
      </c>
      <c r="S1286" s="9">
        <f t="shared" si="146"/>
        <v>42712.026412037034</v>
      </c>
      <c r="T1286" s="9">
        <f t="shared" si="147"/>
        <v>42735.499305555553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44"/>
        <v>1.0165</v>
      </c>
      <c r="P1287">
        <f t="shared" si="145"/>
        <v>2016.5</v>
      </c>
      <c r="Q1287" t="str">
        <f t="shared" ref="Q1287:Q1305" si="148">IF(N1287="theater/plays","theater")</f>
        <v>theater</v>
      </c>
      <c r="R1287" t="str">
        <f t="shared" ref="R1287:R1305" si="149">IF(N1287="theater/plays","plays")</f>
        <v>plays</v>
      </c>
      <c r="S1287" s="9">
        <f t="shared" si="146"/>
        <v>42160.374710648146</v>
      </c>
      <c r="T1287" s="9">
        <f t="shared" si="147"/>
        <v>42175.374710648146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44"/>
        <v>1.0833333333333333</v>
      </c>
      <c r="P1288">
        <f t="shared" si="145"/>
        <v>1562.5</v>
      </c>
      <c r="Q1288" t="str">
        <f t="shared" si="148"/>
        <v>theater</v>
      </c>
      <c r="R1288" t="str">
        <f t="shared" si="149"/>
        <v>plays</v>
      </c>
      <c r="S1288" s="9">
        <f t="shared" si="146"/>
        <v>42039.176238425927</v>
      </c>
      <c r="T1288" s="9">
        <f t="shared" si="147"/>
        <v>42052.374999999993</v>
      </c>
    </row>
    <row r="1289" spans="1:20" ht="58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44"/>
        <v>2.42</v>
      </c>
      <c r="P1289">
        <f t="shared" si="145"/>
        <v>427.5</v>
      </c>
      <c r="Q1289" t="str">
        <f t="shared" si="148"/>
        <v>theater</v>
      </c>
      <c r="R1289" t="str">
        <f t="shared" si="149"/>
        <v>plays</v>
      </c>
      <c r="S1289" s="9">
        <f t="shared" si="146"/>
        <v>42107.412685185183</v>
      </c>
      <c r="T1289" s="9">
        <f t="shared" si="147"/>
        <v>42167.412685185183</v>
      </c>
    </row>
    <row r="1290" spans="1:20" ht="43.5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44"/>
        <v>1.0044999999999999</v>
      </c>
      <c r="P1290">
        <f t="shared" si="145"/>
        <v>4009</v>
      </c>
      <c r="Q1290" t="str">
        <f t="shared" si="148"/>
        <v>theater</v>
      </c>
      <c r="R1290" t="str">
        <f t="shared" si="149"/>
        <v>plays</v>
      </c>
      <c r="S1290" s="9">
        <f t="shared" si="146"/>
        <v>42560.946331018517</v>
      </c>
      <c r="T1290" s="9">
        <f t="shared" si="147"/>
        <v>42591.958333333336</v>
      </c>
    </row>
    <row r="1291" spans="1:20" ht="29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44"/>
        <v>1.2506666666666666</v>
      </c>
      <c r="P1291">
        <f t="shared" si="145"/>
        <v>1688</v>
      </c>
      <c r="Q1291" t="str">
        <f t="shared" si="148"/>
        <v>theater</v>
      </c>
      <c r="R1291" t="str">
        <f t="shared" si="149"/>
        <v>plays</v>
      </c>
      <c r="S1291" s="9">
        <f t="shared" si="146"/>
        <v>42708.926446759258</v>
      </c>
      <c r="T1291" s="9">
        <f t="shared" si="147"/>
        <v>42738.926446759258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44"/>
        <v>1.0857142857142856</v>
      </c>
      <c r="P1292">
        <f t="shared" si="145"/>
        <v>3650</v>
      </c>
      <c r="Q1292" t="str">
        <f t="shared" si="148"/>
        <v>theater</v>
      </c>
      <c r="R1292" t="str">
        <f t="shared" si="149"/>
        <v>plays</v>
      </c>
      <c r="S1292" s="9">
        <f t="shared" si="146"/>
        <v>42086.406608796293</v>
      </c>
      <c r="T1292" s="9">
        <f t="shared" si="147"/>
        <v>42117.082638888889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44"/>
        <v>1.4570000000000001</v>
      </c>
      <c r="P1293">
        <f t="shared" si="145"/>
        <v>3685.5</v>
      </c>
      <c r="Q1293" t="str">
        <f t="shared" si="148"/>
        <v>theater</v>
      </c>
      <c r="R1293" t="str">
        <f t="shared" si="149"/>
        <v>plays</v>
      </c>
      <c r="S1293" s="9">
        <f t="shared" si="146"/>
        <v>42064.444340277776</v>
      </c>
      <c r="T1293" s="9">
        <f t="shared" si="147"/>
        <v>42101.083333333336</v>
      </c>
    </row>
    <row r="1294" spans="1:20" ht="43.5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44"/>
        <v>1.1000000000000001</v>
      </c>
      <c r="P1294">
        <f t="shared" si="145"/>
        <v>1785</v>
      </c>
      <c r="Q1294" t="str">
        <f t="shared" si="148"/>
        <v>theater</v>
      </c>
      <c r="R1294" t="str">
        <f t="shared" si="149"/>
        <v>plays</v>
      </c>
      <c r="S1294" s="9">
        <f t="shared" si="146"/>
        <v>42256.555879629632</v>
      </c>
      <c r="T1294" s="9">
        <f t="shared" si="147"/>
        <v>42283.749305555553</v>
      </c>
    </row>
    <row r="1295" spans="1:20" ht="43.5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44"/>
        <v>1.0223333333333333</v>
      </c>
      <c r="P1295">
        <f t="shared" si="145"/>
        <v>15167.5</v>
      </c>
      <c r="Q1295" t="str">
        <f t="shared" si="148"/>
        <v>theater</v>
      </c>
      <c r="R1295" t="str">
        <f t="shared" si="149"/>
        <v>plays</v>
      </c>
      <c r="S1295" s="9">
        <f t="shared" si="146"/>
        <v>42292.492719907408</v>
      </c>
      <c r="T1295" s="9">
        <f t="shared" si="147"/>
        <v>42322.534386574072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44"/>
        <v>1.22</v>
      </c>
      <c r="P1296">
        <f t="shared" si="145"/>
        <v>555</v>
      </c>
      <c r="Q1296" t="str">
        <f t="shared" si="148"/>
        <v>theater</v>
      </c>
      <c r="R1296" t="str">
        <f t="shared" si="149"/>
        <v>plays</v>
      </c>
      <c r="S1296" s="9">
        <f t="shared" si="146"/>
        <v>42278.245335648149</v>
      </c>
      <c r="T1296" s="9">
        <f t="shared" si="147"/>
        <v>42296.249999999993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44"/>
        <v>1.0196000000000001</v>
      </c>
      <c r="P1297">
        <f t="shared" si="145"/>
        <v>2524.5</v>
      </c>
      <c r="Q1297" t="str">
        <f t="shared" si="148"/>
        <v>theater</v>
      </c>
      <c r="R1297" t="str">
        <f t="shared" si="149"/>
        <v>plays</v>
      </c>
      <c r="S1297" s="9">
        <f t="shared" si="146"/>
        <v>42184.364548611113</v>
      </c>
      <c r="T1297" s="9">
        <f t="shared" si="147"/>
        <v>42214.499999999993</v>
      </c>
    </row>
    <row r="1298" spans="1:20" ht="43.5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44"/>
        <v>1.411764705882353</v>
      </c>
      <c r="P1298">
        <f t="shared" si="145"/>
        <v>1025</v>
      </c>
      <c r="Q1298" t="str">
        <f t="shared" si="148"/>
        <v>theater</v>
      </c>
      <c r="R1298" t="str">
        <f t="shared" si="149"/>
        <v>plays</v>
      </c>
      <c r="S1298" s="9">
        <f t="shared" si="146"/>
        <v>42422.842280092591</v>
      </c>
      <c r="T1298" s="9">
        <f t="shared" si="147"/>
        <v>42442.800613425927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44"/>
        <v>1.0952500000000001</v>
      </c>
      <c r="P1299">
        <f t="shared" si="145"/>
        <v>20952.5</v>
      </c>
      <c r="Q1299" t="str">
        <f t="shared" si="148"/>
        <v>theater</v>
      </c>
      <c r="R1299" t="str">
        <f t="shared" si="149"/>
        <v>plays</v>
      </c>
      <c r="S1299" s="9">
        <f t="shared" si="146"/>
        <v>42461.538865740738</v>
      </c>
      <c r="T1299" s="9">
        <f t="shared" si="147"/>
        <v>42491.538865740738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44"/>
        <v>1.0465</v>
      </c>
      <c r="P1300">
        <f t="shared" si="145"/>
        <v>2046.5</v>
      </c>
      <c r="Q1300" t="str">
        <f t="shared" si="148"/>
        <v>theater</v>
      </c>
      <c r="R1300" t="str">
        <f t="shared" si="149"/>
        <v>plays</v>
      </c>
      <c r="S1300" s="9">
        <f t="shared" si="146"/>
        <v>42458.472592592589</v>
      </c>
      <c r="T1300" s="9">
        <f t="shared" si="147"/>
        <v>42488.472592592589</v>
      </c>
    </row>
    <row r="1301" spans="1:20" ht="29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44"/>
        <v>1.24</v>
      </c>
      <c r="P1301">
        <f t="shared" si="145"/>
        <v>3920</v>
      </c>
      <c r="Q1301" t="str">
        <f t="shared" si="148"/>
        <v>theater</v>
      </c>
      <c r="R1301" t="str">
        <f t="shared" si="149"/>
        <v>plays</v>
      </c>
      <c r="S1301" s="9">
        <f t="shared" si="146"/>
        <v>42169.606006944443</v>
      </c>
      <c r="T1301" s="9">
        <f t="shared" si="147"/>
        <v>42199.606006944443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44"/>
        <v>1.35</v>
      </c>
      <c r="P1302">
        <f t="shared" si="145"/>
        <v>3525</v>
      </c>
      <c r="Q1302" t="str">
        <f t="shared" si="148"/>
        <v>theater</v>
      </c>
      <c r="R1302" t="str">
        <f t="shared" si="149"/>
        <v>plays</v>
      </c>
      <c r="S1302" s="9">
        <f t="shared" si="146"/>
        <v>42483.466874999998</v>
      </c>
      <c r="T1302" s="9">
        <f t="shared" si="147"/>
        <v>42522.581249999996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44"/>
        <v>1.0275000000000001</v>
      </c>
      <c r="P1303">
        <f t="shared" si="145"/>
        <v>2027.5</v>
      </c>
      <c r="Q1303" t="str">
        <f t="shared" si="148"/>
        <v>theater</v>
      </c>
      <c r="R1303" t="str">
        <f t="shared" si="149"/>
        <v>plays</v>
      </c>
      <c r="S1303" s="9">
        <f t="shared" si="146"/>
        <v>42195.541412037033</v>
      </c>
      <c r="T1303" s="9">
        <f t="shared" si="147"/>
        <v>42205.916666666664</v>
      </c>
    </row>
    <row r="1304" spans="1:20" ht="29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44"/>
        <v>1</v>
      </c>
      <c r="P1304">
        <f t="shared" si="145"/>
        <v>2500</v>
      </c>
      <c r="Q1304" t="str">
        <f t="shared" si="148"/>
        <v>theater</v>
      </c>
      <c r="R1304" t="str">
        <f t="shared" si="149"/>
        <v>plays</v>
      </c>
      <c r="S1304" s="9">
        <f t="shared" si="146"/>
        <v>42674.849664351852</v>
      </c>
      <c r="T1304" s="9">
        <f t="shared" si="147"/>
        <v>42704.891331018516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44"/>
        <v>1.3026085714285716</v>
      </c>
      <c r="P1305">
        <f t="shared" si="145"/>
        <v>4029.5650000000001</v>
      </c>
      <c r="Q1305" t="str">
        <f t="shared" si="148"/>
        <v>theater</v>
      </c>
      <c r="R1305" t="str">
        <f t="shared" si="149"/>
        <v>plays</v>
      </c>
      <c r="S1305" s="9">
        <f t="shared" si="146"/>
        <v>42566.232870370368</v>
      </c>
      <c r="T1305" s="9">
        <f t="shared" si="147"/>
        <v>42582.249999999993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44"/>
        <v>0.39627499999999999</v>
      </c>
      <c r="P1306">
        <f t="shared" si="145"/>
        <v>27925.5</v>
      </c>
      <c r="Q1306" t="str">
        <f>IF(N1306="technology/wearables","technology")</f>
        <v>technology</v>
      </c>
      <c r="R1306" t="str">
        <f>IF(N1306="technology/wearables","wearables")</f>
        <v>wearables</v>
      </c>
      <c r="S1306" s="9">
        <f t="shared" si="146"/>
        <v>42746.986168981479</v>
      </c>
      <c r="T1306" s="9">
        <f t="shared" si="147"/>
        <v>42806.944502314807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44"/>
        <v>0.25976666666666665</v>
      </c>
      <c r="P1307">
        <f t="shared" si="145"/>
        <v>18896.5</v>
      </c>
      <c r="Q1307" t="str">
        <f t="shared" ref="Q1307:Q1345" si="150">IF(N1307="technology/wearables","technology")</f>
        <v>technology</v>
      </c>
      <c r="R1307" t="str">
        <f t="shared" ref="R1307:R1345" si="151">IF(N1307="technology/wearables","wearables")</f>
        <v>wearables</v>
      </c>
      <c r="S1307" s="9">
        <f t="shared" si="146"/>
        <v>42543.457268518519</v>
      </c>
      <c r="T1307" s="9">
        <f t="shared" si="147"/>
        <v>42572.520833333336</v>
      </c>
    </row>
    <row r="1308" spans="1:20" ht="43.5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44"/>
        <v>0.65246363636363636</v>
      </c>
      <c r="P1308">
        <f t="shared" si="145"/>
        <v>90885.5</v>
      </c>
      <c r="Q1308" t="str">
        <f t="shared" si="150"/>
        <v>technology</v>
      </c>
      <c r="R1308" t="str">
        <f t="shared" si="151"/>
        <v>wearables</v>
      </c>
      <c r="S1308" s="9">
        <f t="shared" si="146"/>
        <v>41947.249236111107</v>
      </c>
      <c r="T1308" s="9">
        <f t="shared" si="147"/>
        <v>41977.249236111107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44"/>
        <v>0.11514000000000001</v>
      </c>
      <c r="P1309">
        <f t="shared" si="145"/>
        <v>27878.5</v>
      </c>
      <c r="Q1309" t="str">
        <f t="shared" si="150"/>
        <v>technology</v>
      </c>
      <c r="R1309" t="str">
        <f t="shared" si="151"/>
        <v>wearables</v>
      </c>
      <c r="S1309" s="9">
        <f t="shared" si="146"/>
        <v>42387.294895833336</v>
      </c>
      <c r="T1309" s="9">
        <f t="shared" si="147"/>
        <v>42417.294895833336</v>
      </c>
    </row>
    <row r="1310" spans="1:20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44"/>
        <v>0.11360000000000001</v>
      </c>
      <c r="P1310">
        <f t="shared" si="145"/>
        <v>5568</v>
      </c>
      <c r="Q1310" t="str">
        <f t="shared" si="150"/>
        <v>technology</v>
      </c>
      <c r="R1310" t="str">
        <f t="shared" si="151"/>
        <v>wearables</v>
      </c>
      <c r="S1310" s="9">
        <f t="shared" si="146"/>
        <v>42611.405231481483</v>
      </c>
      <c r="T1310" s="9">
        <f t="shared" si="147"/>
        <v>42651.405231481483</v>
      </c>
    </row>
    <row r="1311" spans="1:20" ht="29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44"/>
        <v>1.1199130434782609</v>
      </c>
      <c r="P1311">
        <f t="shared" si="145"/>
        <v>12189.5</v>
      </c>
      <c r="Q1311" t="str">
        <f t="shared" si="150"/>
        <v>technology</v>
      </c>
      <c r="R1311" t="str">
        <f t="shared" si="151"/>
        <v>wearables</v>
      </c>
      <c r="S1311" s="9">
        <f t="shared" si="146"/>
        <v>42257.674398148149</v>
      </c>
      <c r="T1311" s="9">
        <f t="shared" si="147"/>
        <v>42292.674398148149</v>
      </c>
    </row>
    <row r="1312" spans="1:20" ht="29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44"/>
        <v>0.155</v>
      </c>
      <c r="P1312">
        <f t="shared" si="145"/>
        <v>11550</v>
      </c>
      <c r="Q1312" t="str">
        <f t="shared" si="150"/>
        <v>technology</v>
      </c>
      <c r="R1312" t="str">
        <f t="shared" si="151"/>
        <v>wearables</v>
      </c>
      <c r="S1312" s="9">
        <f t="shared" si="146"/>
        <v>42556.458912037029</v>
      </c>
      <c r="T1312" s="9">
        <f t="shared" si="147"/>
        <v>42601.458912037029</v>
      </c>
    </row>
    <row r="1313" spans="1:20" ht="43.5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44"/>
        <v>0.32028000000000001</v>
      </c>
      <c r="P1313">
        <f t="shared" si="145"/>
        <v>165035</v>
      </c>
      <c r="Q1313" t="str">
        <f t="shared" si="150"/>
        <v>technology</v>
      </c>
      <c r="R1313" t="str">
        <f t="shared" si="151"/>
        <v>wearables</v>
      </c>
      <c r="S1313" s="9">
        <f t="shared" si="146"/>
        <v>42669.593969907401</v>
      </c>
      <c r="T1313" s="9">
        <f t="shared" si="147"/>
        <v>42704.635636574072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44"/>
        <v>6.0869565217391303E-3</v>
      </c>
      <c r="P1314">
        <f t="shared" si="145"/>
        <v>2314</v>
      </c>
      <c r="Q1314" t="str">
        <f t="shared" si="150"/>
        <v>technology</v>
      </c>
      <c r="R1314" t="str">
        <f t="shared" si="151"/>
        <v>wearables</v>
      </c>
      <c r="S1314" s="9">
        <f t="shared" si="146"/>
        <v>42082.494467592587</v>
      </c>
      <c r="T1314" s="9">
        <f t="shared" si="147"/>
        <v>42112.494467592587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44"/>
        <v>0.31114999999999998</v>
      </c>
      <c r="P1315">
        <f t="shared" si="145"/>
        <v>26223</v>
      </c>
      <c r="Q1315" t="str">
        <f t="shared" si="150"/>
        <v>technology</v>
      </c>
      <c r="R1315" t="str">
        <f t="shared" si="151"/>
        <v>wearables</v>
      </c>
      <c r="S1315" s="9">
        <f t="shared" si="146"/>
        <v>42402.50131944444</v>
      </c>
      <c r="T1315" s="9">
        <f t="shared" si="147"/>
        <v>42432.50131944444</v>
      </c>
    </row>
    <row r="1316" spans="1:20" ht="43.5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44"/>
        <v>1.1266666666666666E-2</v>
      </c>
      <c r="P1316">
        <f t="shared" si="145"/>
        <v>91014</v>
      </c>
      <c r="Q1316" t="str">
        <f t="shared" si="150"/>
        <v>technology</v>
      </c>
      <c r="R1316" t="str">
        <f t="shared" si="151"/>
        <v>wearables</v>
      </c>
      <c r="S1316" s="9">
        <f t="shared" si="146"/>
        <v>42604.461342592585</v>
      </c>
      <c r="T1316" s="9">
        <f t="shared" si="147"/>
        <v>42664.461342592585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44"/>
        <v>0.40404000000000001</v>
      </c>
      <c r="P1317">
        <f t="shared" si="145"/>
        <v>70202</v>
      </c>
      <c r="Q1317" t="str">
        <f t="shared" si="150"/>
        <v>technology</v>
      </c>
      <c r="R1317" t="str">
        <f t="shared" si="151"/>
        <v>wearables</v>
      </c>
      <c r="S1317" s="9">
        <f t="shared" si="146"/>
        <v>42278.289907407401</v>
      </c>
      <c r="T1317" s="9">
        <f t="shared" si="147"/>
        <v>42313.833333333336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44"/>
        <v>1.3333333333333333E-5</v>
      </c>
      <c r="P1318">
        <f t="shared" si="145"/>
        <v>37500.5</v>
      </c>
      <c r="Q1318" t="str">
        <f t="shared" si="150"/>
        <v>technology</v>
      </c>
      <c r="R1318" t="str">
        <f t="shared" si="151"/>
        <v>wearables</v>
      </c>
      <c r="S1318" s="9">
        <f t="shared" si="146"/>
        <v>42393.753576388888</v>
      </c>
      <c r="T1318" s="9">
        <f t="shared" si="147"/>
        <v>42428.753576388888</v>
      </c>
    </row>
    <row r="1319" spans="1:20" ht="43.5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44"/>
        <v>5.7334999999999997E-2</v>
      </c>
      <c r="P1319">
        <f t="shared" si="145"/>
        <v>105733.5</v>
      </c>
      <c r="Q1319" t="str">
        <f t="shared" si="150"/>
        <v>technology</v>
      </c>
      <c r="R1319" t="str">
        <f t="shared" si="151"/>
        <v>wearables</v>
      </c>
      <c r="S1319" s="9">
        <f t="shared" si="146"/>
        <v>42520.027152777773</v>
      </c>
      <c r="T1319" s="9">
        <f t="shared" si="147"/>
        <v>42572.374999999993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44"/>
        <v>0.15325</v>
      </c>
      <c r="P1320">
        <f t="shared" si="145"/>
        <v>23065</v>
      </c>
      <c r="Q1320" t="str">
        <f t="shared" si="150"/>
        <v>technology</v>
      </c>
      <c r="R1320" t="str">
        <f t="shared" si="151"/>
        <v>wearables</v>
      </c>
      <c r="S1320" s="9">
        <f t="shared" si="146"/>
        <v>41984.835324074076</v>
      </c>
      <c r="T1320" s="9">
        <f t="shared" si="147"/>
        <v>42014.835324074076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44"/>
        <v>0.15103448275862069</v>
      </c>
      <c r="P1321">
        <f t="shared" si="145"/>
        <v>3338</v>
      </c>
      <c r="Q1321" t="str">
        <f t="shared" si="150"/>
        <v>technology</v>
      </c>
      <c r="R1321" t="str">
        <f t="shared" si="151"/>
        <v>wearables</v>
      </c>
      <c r="S1321" s="9">
        <f t="shared" si="146"/>
        <v>41816.603761574072</v>
      </c>
      <c r="T1321" s="9">
        <f t="shared" si="147"/>
        <v>41831.458333333328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44"/>
        <v>5.0299999999999997E-3</v>
      </c>
      <c r="P1322">
        <f t="shared" si="145"/>
        <v>50251.5</v>
      </c>
      <c r="Q1322" t="str">
        <f t="shared" si="150"/>
        <v>technology</v>
      </c>
      <c r="R1322" t="str">
        <f t="shared" si="151"/>
        <v>wearables</v>
      </c>
      <c r="S1322" s="9">
        <f t="shared" si="146"/>
        <v>42705.482013888883</v>
      </c>
      <c r="T1322" s="9">
        <f t="shared" si="147"/>
        <v>42734.749999999993</v>
      </c>
    </row>
    <row r="1323" spans="1:20" ht="43.5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44"/>
        <v>1.3028138528138528E-2</v>
      </c>
      <c r="P1323">
        <f t="shared" si="145"/>
        <v>234009.5</v>
      </c>
      <c r="Q1323" t="str">
        <f t="shared" si="150"/>
        <v>technology</v>
      </c>
      <c r="R1323" t="str">
        <f t="shared" si="151"/>
        <v>wearables</v>
      </c>
      <c r="S1323" s="9">
        <f t="shared" si="146"/>
        <v>42697.540937499994</v>
      </c>
      <c r="T1323" s="9">
        <f t="shared" si="147"/>
        <v>42727.540937499994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44"/>
        <v>3.0285714285714286E-3</v>
      </c>
      <c r="P1324">
        <f t="shared" si="145"/>
        <v>17553</v>
      </c>
      <c r="Q1324" t="str">
        <f t="shared" si="150"/>
        <v>technology</v>
      </c>
      <c r="R1324" t="str">
        <f t="shared" si="151"/>
        <v>wearables</v>
      </c>
      <c r="S1324" s="9">
        <f t="shared" si="146"/>
        <v>42115.448206018518</v>
      </c>
      <c r="T1324" s="9">
        <f t="shared" si="147"/>
        <v>42145.448206018518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44"/>
        <v>8.8800000000000004E-2</v>
      </c>
      <c r="P1325">
        <f t="shared" si="145"/>
        <v>8166</v>
      </c>
      <c r="Q1325" t="str">
        <f t="shared" si="150"/>
        <v>technology</v>
      </c>
      <c r="R1325" t="str">
        <f t="shared" si="151"/>
        <v>wearables</v>
      </c>
      <c r="S1325" s="9">
        <f t="shared" si="146"/>
        <v>42451.490115740737</v>
      </c>
      <c r="T1325" s="9">
        <f t="shared" si="147"/>
        <v>42486.079861111109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44"/>
        <v>9.8400000000000001E-2</v>
      </c>
      <c r="P1326">
        <f t="shared" si="145"/>
        <v>27460</v>
      </c>
      <c r="Q1326" t="str">
        <f t="shared" si="150"/>
        <v>technology</v>
      </c>
      <c r="R1326" t="str">
        <f t="shared" si="151"/>
        <v>wearables</v>
      </c>
      <c r="S1326" s="9">
        <f t="shared" si="146"/>
        <v>42626.425370370365</v>
      </c>
      <c r="T1326" s="9">
        <f t="shared" si="147"/>
        <v>42656.425370370365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44"/>
        <v>2.4299999999999999E-2</v>
      </c>
      <c r="P1327">
        <f t="shared" si="145"/>
        <v>10243</v>
      </c>
      <c r="Q1327" t="str">
        <f t="shared" si="150"/>
        <v>technology</v>
      </c>
      <c r="R1327" t="str">
        <f t="shared" si="151"/>
        <v>wearables</v>
      </c>
      <c r="S1327" s="9">
        <f t="shared" si="146"/>
        <v>42703.877719907403</v>
      </c>
      <c r="T1327" s="9">
        <f t="shared" si="147"/>
        <v>42733.877719907403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44"/>
        <v>1.1299999999999999E-2</v>
      </c>
      <c r="P1328">
        <f t="shared" si="145"/>
        <v>50565</v>
      </c>
      <c r="Q1328" t="str">
        <f t="shared" si="150"/>
        <v>technology</v>
      </c>
      <c r="R1328" t="str">
        <f t="shared" si="151"/>
        <v>wearables</v>
      </c>
      <c r="S1328" s="9">
        <f t="shared" si="146"/>
        <v>41974.583657407406</v>
      </c>
      <c r="T1328" s="9">
        <f t="shared" si="147"/>
        <v>42019.583657407406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44"/>
        <v>3.5520833333333335E-2</v>
      </c>
      <c r="P1329">
        <f t="shared" si="145"/>
        <v>24852.5</v>
      </c>
      <c r="Q1329" t="str">
        <f t="shared" si="150"/>
        <v>technology</v>
      </c>
      <c r="R1329" t="str">
        <f t="shared" si="151"/>
        <v>wearables</v>
      </c>
      <c r="S1329" s="9">
        <f t="shared" si="146"/>
        <v>42123.470312500001</v>
      </c>
      <c r="T1329" s="9">
        <f t="shared" si="147"/>
        <v>42153.470312500001</v>
      </c>
    </row>
    <row r="1330" spans="1:20" ht="43.5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44"/>
        <v>2.3306666666666667E-2</v>
      </c>
      <c r="P1330">
        <f t="shared" si="145"/>
        <v>38374</v>
      </c>
      <c r="Q1330" t="str">
        <f t="shared" si="150"/>
        <v>technology</v>
      </c>
      <c r="R1330" t="str">
        <f t="shared" si="151"/>
        <v>wearables</v>
      </c>
      <c r="S1330" s="9">
        <f t="shared" si="146"/>
        <v>42612.434421296297</v>
      </c>
      <c r="T1330" s="9">
        <f t="shared" si="147"/>
        <v>42657.434421296297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44"/>
        <v>8.1600000000000006E-3</v>
      </c>
      <c r="P1331">
        <f t="shared" si="145"/>
        <v>25204</v>
      </c>
      <c r="Q1331" t="str">
        <f t="shared" si="150"/>
        <v>technology</v>
      </c>
      <c r="R1331" t="str">
        <f t="shared" si="151"/>
        <v>wearables</v>
      </c>
      <c r="S1331" s="9">
        <f t="shared" si="146"/>
        <v>41935.013252314813</v>
      </c>
      <c r="T1331" s="9">
        <f t="shared" si="147"/>
        <v>41975.054918981477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44"/>
        <v>0.22494285714285714</v>
      </c>
      <c r="P1332">
        <f t="shared" si="145"/>
        <v>21436.5</v>
      </c>
      <c r="Q1332" t="str">
        <f t="shared" si="150"/>
        <v>technology</v>
      </c>
      <c r="R1332" t="str">
        <f t="shared" si="151"/>
        <v>wearables</v>
      </c>
      <c r="S1332" s="9">
        <f t="shared" si="146"/>
        <v>42522.068391203698</v>
      </c>
      <c r="T1332" s="9">
        <f t="shared" si="147"/>
        <v>42552.958333333336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44"/>
        <v>1.3668E-2</v>
      </c>
      <c r="P1333">
        <f t="shared" si="145"/>
        <v>126708.5</v>
      </c>
      <c r="Q1333" t="str">
        <f t="shared" si="150"/>
        <v>technology</v>
      </c>
      <c r="R1333" t="str">
        <f t="shared" si="151"/>
        <v>wearables</v>
      </c>
      <c r="S1333" s="9">
        <f t="shared" si="146"/>
        <v>42569.295763888884</v>
      </c>
      <c r="T1333" s="9">
        <f t="shared" si="147"/>
        <v>42599.295763888884</v>
      </c>
    </row>
    <row r="1334" spans="1:20" ht="43.5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44"/>
        <v>0</v>
      </c>
      <c r="P1334">
        <f t="shared" si="145"/>
        <v>5057.5</v>
      </c>
      <c r="Q1334" t="str">
        <f t="shared" si="150"/>
        <v>technology</v>
      </c>
      <c r="R1334" t="str">
        <f t="shared" si="151"/>
        <v>wearables</v>
      </c>
      <c r="S1334" s="9">
        <f t="shared" si="146"/>
        <v>42731.851944444446</v>
      </c>
      <c r="T1334" s="9">
        <f t="shared" si="147"/>
        <v>42761.851944444446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44"/>
        <v>0</v>
      </c>
      <c r="P1335">
        <f t="shared" si="145"/>
        <v>1250</v>
      </c>
      <c r="Q1335" t="str">
        <f t="shared" si="150"/>
        <v>technology</v>
      </c>
      <c r="R1335" t="str">
        <f t="shared" si="151"/>
        <v>wearables</v>
      </c>
      <c r="S1335" s="9">
        <f t="shared" si="146"/>
        <v>41805.8984375</v>
      </c>
      <c r="T1335" s="9">
        <f t="shared" si="147"/>
        <v>41835.8984375</v>
      </c>
    </row>
    <row r="1336" spans="1:20" ht="29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44"/>
        <v>0.10754135338345865</v>
      </c>
      <c r="P1336">
        <f t="shared" si="145"/>
        <v>73651.5</v>
      </c>
      <c r="Q1336" t="str">
        <f t="shared" si="150"/>
        <v>technology</v>
      </c>
      <c r="R1336" t="str">
        <f t="shared" si="151"/>
        <v>wearables</v>
      </c>
      <c r="S1336" s="9">
        <f t="shared" si="146"/>
        <v>42410.565821759257</v>
      </c>
      <c r="T1336" s="9">
        <f t="shared" si="147"/>
        <v>42440.565821759257</v>
      </c>
    </row>
    <row r="1337" spans="1:20" ht="43.5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44"/>
        <v>0.1976</v>
      </c>
      <c r="P1337">
        <f t="shared" si="145"/>
        <v>14970</v>
      </c>
      <c r="Q1337" t="str">
        <f t="shared" si="150"/>
        <v>technology</v>
      </c>
      <c r="R1337" t="str">
        <f t="shared" si="151"/>
        <v>wearables</v>
      </c>
      <c r="S1337" s="9">
        <f t="shared" si="146"/>
        <v>42313.728032407402</v>
      </c>
      <c r="T1337" s="9">
        <f t="shared" si="147"/>
        <v>42343.728032407402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44"/>
        <v>0.84946999999999995</v>
      </c>
      <c r="P1338">
        <f t="shared" si="145"/>
        <v>92473.5</v>
      </c>
      <c r="Q1338" t="str">
        <f t="shared" si="150"/>
        <v>technology</v>
      </c>
      <c r="R1338" t="str">
        <f t="shared" si="151"/>
        <v>wearables</v>
      </c>
      <c r="S1338" s="9">
        <f t="shared" si="146"/>
        <v>41955.655416666668</v>
      </c>
      <c r="T1338" s="9">
        <f t="shared" si="147"/>
        <v>41990.655416666668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44"/>
        <v>0.49381999999999998</v>
      </c>
      <c r="P1339">
        <f t="shared" si="145"/>
        <v>37345.5</v>
      </c>
      <c r="Q1339" t="str">
        <f t="shared" si="150"/>
        <v>technology</v>
      </c>
      <c r="R1339" t="str">
        <f t="shared" si="151"/>
        <v>wearables</v>
      </c>
      <c r="S1339" s="9">
        <f t="shared" si="146"/>
        <v>42767.368969907409</v>
      </c>
      <c r="T1339" s="9">
        <f t="shared" si="147"/>
        <v>42797.368969907409</v>
      </c>
    </row>
    <row r="1340" spans="1:20" ht="43.5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44"/>
        <v>3.3033333333333331E-2</v>
      </c>
      <c r="P1340">
        <f t="shared" si="145"/>
        <v>15495.5</v>
      </c>
      <c r="Q1340" t="str">
        <f t="shared" si="150"/>
        <v>technology</v>
      </c>
      <c r="R1340" t="str">
        <f t="shared" si="151"/>
        <v>wearables</v>
      </c>
      <c r="S1340" s="9">
        <f t="shared" si="146"/>
        <v>42188.595289351848</v>
      </c>
      <c r="T1340" s="9">
        <f t="shared" si="147"/>
        <v>42218.595289351848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44"/>
        <v>6.6339999999999996E-2</v>
      </c>
      <c r="P1341">
        <f t="shared" si="145"/>
        <v>26658.5</v>
      </c>
      <c r="Q1341" t="str">
        <f t="shared" si="150"/>
        <v>technology</v>
      </c>
      <c r="R1341" t="str">
        <f t="shared" si="151"/>
        <v>wearables</v>
      </c>
      <c r="S1341" s="9">
        <f t="shared" si="146"/>
        <v>41936.438831018517</v>
      </c>
      <c r="T1341" s="9">
        <f t="shared" si="147"/>
        <v>41981.480497685181</v>
      </c>
    </row>
    <row r="1342" spans="1:20" ht="29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44"/>
        <v>0</v>
      </c>
      <c r="P1342">
        <f t="shared" si="145"/>
        <v>840</v>
      </c>
      <c r="Q1342" t="str">
        <f t="shared" si="150"/>
        <v>technology</v>
      </c>
      <c r="R1342" t="str">
        <f t="shared" si="151"/>
        <v>wearables</v>
      </c>
      <c r="S1342" s="9">
        <f t="shared" si="146"/>
        <v>41836.387187499997</v>
      </c>
      <c r="T1342" s="9">
        <f t="shared" si="147"/>
        <v>41866.387187499997</v>
      </c>
    </row>
    <row r="1343" spans="1:20" ht="43.5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44"/>
        <v>0.7036</v>
      </c>
      <c r="P1343">
        <f t="shared" si="145"/>
        <v>21295</v>
      </c>
      <c r="Q1343" t="str">
        <f t="shared" si="150"/>
        <v>technology</v>
      </c>
      <c r="R1343" t="str">
        <f t="shared" si="151"/>
        <v>wearables</v>
      </c>
      <c r="S1343" s="9">
        <f t="shared" si="146"/>
        <v>42612.415706018517</v>
      </c>
      <c r="T1343" s="9">
        <f t="shared" si="147"/>
        <v>42644.415706018517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44"/>
        <v>2E-3</v>
      </c>
      <c r="P1344">
        <f t="shared" si="145"/>
        <v>25050</v>
      </c>
      <c r="Q1344" t="str">
        <f t="shared" si="150"/>
        <v>technology</v>
      </c>
      <c r="R1344" t="str">
        <f t="shared" si="151"/>
        <v>wearables</v>
      </c>
      <c r="S1344" s="9">
        <f t="shared" si="146"/>
        <v>42172.608090277776</v>
      </c>
      <c r="T1344" s="9">
        <f t="shared" si="147"/>
        <v>42202.608090277776</v>
      </c>
    </row>
    <row r="1345" spans="1:20" ht="43.5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44"/>
        <v>1.02298</v>
      </c>
      <c r="P1345">
        <f t="shared" si="145"/>
        <v>50574.5</v>
      </c>
      <c r="Q1345" t="str">
        <f t="shared" si="150"/>
        <v>technology</v>
      </c>
      <c r="R1345" t="str">
        <f t="shared" si="151"/>
        <v>wearables</v>
      </c>
      <c r="S1345" s="9">
        <f t="shared" si="146"/>
        <v>42542.318090277775</v>
      </c>
      <c r="T1345" s="9">
        <f t="shared" si="147"/>
        <v>42600.957638888889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44"/>
        <v>3.7773333333333334</v>
      </c>
      <c r="P1346">
        <f t="shared" si="145"/>
        <v>3583</v>
      </c>
      <c r="Q1346" t="str">
        <f>IF(N1346="publishing/nonfiction","publishing")</f>
        <v>publishing</v>
      </c>
      <c r="R1346" t="str">
        <f>IF(N1346="publishing/nonfiction","nonfiction")</f>
        <v>nonfiction</v>
      </c>
      <c r="S1346" s="9">
        <f t="shared" si="146"/>
        <v>42522.581469907404</v>
      </c>
      <c r="T1346" s="9">
        <f t="shared" si="147"/>
        <v>42551.581469907404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52">E1347/D1347</f>
        <v>1.25</v>
      </c>
      <c r="P1347">
        <f t="shared" ref="P1347:P1410" si="153">AVERAGE(D1347:E1347)</f>
        <v>337.5</v>
      </c>
      <c r="Q1347" t="str">
        <f t="shared" ref="Q1347:Q1365" si="154">IF(N1347="publishing/nonfiction","publishing")</f>
        <v>publishing</v>
      </c>
      <c r="R1347" t="str">
        <f t="shared" ref="R1347:R1365" si="155">IF(N1347="publishing/nonfiction","nonfiction")</f>
        <v>nonfiction</v>
      </c>
      <c r="S1347" s="9">
        <f t="shared" ref="S1347:S1410" si="156">J1347/86400+25569+(-5/24)</f>
        <v>41799.606006944443</v>
      </c>
      <c r="T1347" s="9">
        <f t="shared" si="147"/>
        <v>41834.606006944443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52"/>
        <v>1.473265306122449</v>
      </c>
      <c r="P1348">
        <f t="shared" si="153"/>
        <v>6059.5</v>
      </c>
      <c r="Q1348" t="str">
        <f t="shared" si="154"/>
        <v>publishing</v>
      </c>
      <c r="R1348" t="str">
        <f t="shared" si="155"/>
        <v>nonfiction</v>
      </c>
      <c r="S1348" s="9">
        <f t="shared" si="156"/>
        <v>41421.867488425924</v>
      </c>
      <c r="T1348" s="9">
        <f t="shared" ref="T1348:T1411" si="157">I1348/86400+25569+(-5/24)</f>
        <v>41451.867488425924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52"/>
        <v>1.022</v>
      </c>
      <c r="P1349">
        <f t="shared" si="153"/>
        <v>2527.5</v>
      </c>
      <c r="Q1349" t="str">
        <f t="shared" si="154"/>
        <v>publishing</v>
      </c>
      <c r="R1349" t="str">
        <f t="shared" si="155"/>
        <v>nonfiction</v>
      </c>
      <c r="S1349" s="9">
        <f t="shared" si="156"/>
        <v>42040.429687499993</v>
      </c>
      <c r="T1349" s="9">
        <f t="shared" si="157"/>
        <v>42070.429687499993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52"/>
        <v>1.018723404255319</v>
      </c>
      <c r="P1350">
        <f t="shared" si="153"/>
        <v>5930</v>
      </c>
      <c r="Q1350" t="str">
        <f t="shared" si="154"/>
        <v>publishing</v>
      </c>
      <c r="R1350" t="str">
        <f t="shared" si="155"/>
        <v>nonfiction</v>
      </c>
      <c r="S1350" s="9">
        <f t="shared" si="156"/>
        <v>41963.297835648147</v>
      </c>
      <c r="T1350" s="9">
        <f t="shared" si="157"/>
        <v>41991.297835648147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52"/>
        <v>2.0419999999999998</v>
      </c>
      <c r="P1351">
        <f t="shared" si="153"/>
        <v>7605</v>
      </c>
      <c r="Q1351" t="str">
        <f t="shared" si="154"/>
        <v>publishing</v>
      </c>
      <c r="R1351" t="str">
        <f t="shared" si="155"/>
        <v>nonfiction</v>
      </c>
      <c r="S1351" s="9">
        <f t="shared" si="156"/>
        <v>42317.124247685184</v>
      </c>
      <c r="T1351" s="9">
        <f t="shared" si="157"/>
        <v>42354.082638888889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52"/>
        <v>1.0405</v>
      </c>
      <c r="P1352">
        <f t="shared" si="153"/>
        <v>5101.25</v>
      </c>
      <c r="Q1352" t="str">
        <f t="shared" si="154"/>
        <v>publishing</v>
      </c>
      <c r="R1352" t="str">
        <f t="shared" si="155"/>
        <v>nonfiction</v>
      </c>
      <c r="S1352" s="9">
        <f t="shared" si="156"/>
        <v>42333.804791666662</v>
      </c>
      <c r="T1352" s="9">
        <f t="shared" si="157"/>
        <v>42363.804791666662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52"/>
        <v>1.0126500000000001</v>
      </c>
      <c r="P1353">
        <f t="shared" si="153"/>
        <v>20126.5</v>
      </c>
      <c r="Q1353" t="str">
        <f t="shared" si="154"/>
        <v>publishing</v>
      </c>
      <c r="R1353" t="str">
        <f t="shared" si="155"/>
        <v>nonfiction</v>
      </c>
      <c r="S1353" s="9">
        <f t="shared" si="156"/>
        <v>42382.531759259255</v>
      </c>
      <c r="T1353" s="9">
        <f t="shared" si="157"/>
        <v>42412.531759259255</v>
      </c>
    </row>
    <row r="1354" spans="1:20" ht="43.5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52"/>
        <v>1.3613999999999999</v>
      </c>
      <c r="P1354">
        <f t="shared" si="153"/>
        <v>11807</v>
      </c>
      <c r="Q1354" t="str">
        <f t="shared" si="154"/>
        <v>publishing</v>
      </c>
      <c r="R1354" t="str">
        <f t="shared" si="155"/>
        <v>nonfiction</v>
      </c>
      <c r="S1354" s="9">
        <f t="shared" si="156"/>
        <v>42200.369976851849</v>
      </c>
      <c r="T1354" s="9">
        <f t="shared" si="157"/>
        <v>42251.957638888889</v>
      </c>
    </row>
    <row r="1355" spans="1:20" ht="29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52"/>
        <v>1.3360000000000001</v>
      </c>
      <c r="P1355">
        <f t="shared" si="153"/>
        <v>1168</v>
      </c>
      <c r="Q1355" t="str">
        <f t="shared" si="154"/>
        <v>publishing</v>
      </c>
      <c r="R1355" t="str">
        <f t="shared" si="155"/>
        <v>nonfiction</v>
      </c>
      <c r="S1355" s="9">
        <f t="shared" si="156"/>
        <v>41308.909583333334</v>
      </c>
      <c r="T1355" s="9">
        <f t="shared" si="157"/>
        <v>41343.791666666664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52"/>
        <v>1.3025</v>
      </c>
      <c r="P1356">
        <f t="shared" si="153"/>
        <v>1381.5</v>
      </c>
      <c r="Q1356" t="str">
        <f t="shared" si="154"/>
        <v>publishing</v>
      </c>
      <c r="R1356" t="str">
        <f t="shared" si="155"/>
        <v>nonfiction</v>
      </c>
      <c r="S1356" s="9">
        <f t="shared" si="156"/>
        <v>42502.599293981482</v>
      </c>
      <c r="T1356" s="9">
        <f t="shared" si="157"/>
        <v>42532.599293981482</v>
      </c>
    </row>
    <row r="1357" spans="1:20" ht="43.5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52"/>
        <v>1.2267999999999999</v>
      </c>
      <c r="P1357">
        <f t="shared" si="153"/>
        <v>2783.5</v>
      </c>
      <c r="Q1357" t="str">
        <f t="shared" si="154"/>
        <v>publishing</v>
      </c>
      <c r="R1357" t="str">
        <f t="shared" si="155"/>
        <v>nonfiction</v>
      </c>
      <c r="S1357" s="9">
        <f t="shared" si="156"/>
        <v>41213.046354166661</v>
      </c>
      <c r="T1357" s="9">
        <f t="shared" si="157"/>
        <v>41243.208333333328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52"/>
        <v>1.8281058823529412</v>
      </c>
      <c r="P1358">
        <f t="shared" si="153"/>
        <v>4807.7800000000007</v>
      </c>
      <c r="Q1358" t="str">
        <f t="shared" si="154"/>
        <v>publishing</v>
      </c>
      <c r="R1358" t="str">
        <f t="shared" si="155"/>
        <v>nonfiction</v>
      </c>
      <c r="S1358" s="9">
        <f t="shared" si="156"/>
        <v>41429.830555555549</v>
      </c>
      <c r="T1358" s="9">
        <f t="shared" si="157"/>
        <v>41459.830555555549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52"/>
        <v>1.2529999999999999</v>
      </c>
      <c r="P1359">
        <f t="shared" si="153"/>
        <v>2253</v>
      </c>
      <c r="Q1359" t="str">
        <f t="shared" si="154"/>
        <v>publishing</v>
      </c>
      <c r="R1359" t="str">
        <f t="shared" si="155"/>
        <v>nonfiction</v>
      </c>
      <c r="S1359" s="9">
        <f t="shared" si="156"/>
        <v>41304.753900462958</v>
      </c>
      <c r="T1359" s="9">
        <f t="shared" si="157"/>
        <v>41334.040972222218</v>
      </c>
    </row>
    <row r="1360" spans="1:20" ht="29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52"/>
        <v>1.1166666666666667</v>
      </c>
      <c r="P1360">
        <f t="shared" si="153"/>
        <v>3175</v>
      </c>
      <c r="Q1360" t="str">
        <f t="shared" si="154"/>
        <v>publishing</v>
      </c>
      <c r="R1360" t="str">
        <f t="shared" si="155"/>
        <v>nonfiction</v>
      </c>
      <c r="S1360" s="9">
        <f t="shared" si="156"/>
        <v>40689.362534722219</v>
      </c>
      <c r="T1360" s="9">
        <f t="shared" si="157"/>
        <v>40719.362534722219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52"/>
        <v>1.1575757575757575</v>
      </c>
      <c r="P1361">
        <f t="shared" si="153"/>
        <v>712</v>
      </c>
      <c r="Q1361" t="str">
        <f t="shared" si="154"/>
        <v>publishing</v>
      </c>
      <c r="R1361" t="str">
        <f t="shared" si="155"/>
        <v>nonfiction</v>
      </c>
      <c r="S1361" s="9">
        <f t="shared" si="156"/>
        <v>40668.606365740736</v>
      </c>
      <c r="T1361" s="9">
        <f t="shared" si="157"/>
        <v>40730.606365740736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52"/>
        <v>1.732</v>
      </c>
      <c r="P1362">
        <f t="shared" si="153"/>
        <v>2049</v>
      </c>
      <c r="Q1362" t="str">
        <f t="shared" si="154"/>
        <v>publishing</v>
      </c>
      <c r="R1362" t="str">
        <f t="shared" si="155"/>
        <v>nonfiction</v>
      </c>
      <c r="S1362" s="9">
        <f t="shared" si="156"/>
        <v>41095.692361111105</v>
      </c>
      <c r="T1362" s="9">
        <f t="shared" si="157"/>
        <v>41123.692361111105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52"/>
        <v>1.2598333333333334</v>
      </c>
      <c r="P1363">
        <f t="shared" si="153"/>
        <v>6779.5</v>
      </c>
      <c r="Q1363" t="str">
        <f t="shared" si="154"/>
        <v>publishing</v>
      </c>
      <c r="R1363" t="str">
        <f t="shared" si="155"/>
        <v>nonfiction</v>
      </c>
      <c r="S1363" s="9">
        <f t="shared" si="156"/>
        <v>41781.508935185186</v>
      </c>
      <c r="T1363" s="9">
        <f t="shared" si="157"/>
        <v>41811.508935185186</v>
      </c>
    </row>
    <row r="1364" spans="1:20" ht="29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52"/>
        <v>1.091</v>
      </c>
      <c r="P1364">
        <f t="shared" si="153"/>
        <v>1045.5</v>
      </c>
      <c r="Q1364" t="str">
        <f t="shared" si="154"/>
        <v>publishing</v>
      </c>
      <c r="R1364" t="str">
        <f t="shared" si="155"/>
        <v>nonfiction</v>
      </c>
      <c r="S1364" s="9">
        <f t="shared" si="156"/>
        <v>41464.726053240738</v>
      </c>
      <c r="T1364" s="9">
        <f t="shared" si="157"/>
        <v>41524.726053240738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52"/>
        <v>1</v>
      </c>
      <c r="P1365">
        <f t="shared" si="153"/>
        <v>200</v>
      </c>
      <c r="Q1365" t="str">
        <f t="shared" si="154"/>
        <v>publishing</v>
      </c>
      <c r="R1365" t="str">
        <f t="shared" si="155"/>
        <v>nonfiction</v>
      </c>
      <c r="S1365" s="9">
        <f t="shared" si="156"/>
        <v>42396.635729166665</v>
      </c>
      <c r="T1365" s="9">
        <f t="shared" si="157"/>
        <v>42415.124305555553</v>
      </c>
    </row>
    <row r="1366" spans="1:20" ht="43.5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52"/>
        <v>1.1864285714285714</v>
      </c>
      <c r="P1366">
        <f t="shared" si="153"/>
        <v>45915</v>
      </c>
      <c r="Q1366" t="str">
        <f>IF(N1366="music/rock","music")</f>
        <v>music</v>
      </c>
      <c r="R1366" t="str">
        <f>IF(N1366="music/rock","rock")</f>
        <v>rock</v>
      </c>
      <c r="S1366" s="9">
        <f t="shared" si="156"/>
        <v>41951.487337962964</v>
      </c>
      <c r="T1366" s="9">
        <f t="shared" si="157"/>
        <v>42011.487337962964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52"/>
        <v>1.0026666666666666</v>
      </c>
      <c r="P1367">
        <f t="shared" si="153"/>
        <v>7510</v>
      </c>
      <c r="Q1367" t="str">
        <f t="shared" ref="Q1367:Q1405" si="158">IF(N1367="music/rock","music")</f>
        <v>music</v>
      </c>
      <c r="R1367" t="str">
        <f t="shared" ref="R1367:R1405" si="159">IF(N1367="music/rock","rock")</f>
        <v>rock</v>
      </c>
      <c r="S1367" s="9">
        <f t="shared" si="156"/>
        <v>42049.524907407402</v>
      </c>
      <c r="T1367" s="9">
        <f t="shared" si="157"/>
        <v>42079.483240740738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52"/>
        <v>1.2648920000000001</v>
      </c>
      <c r="P1368">
        <f t="shared" si="153"/>
        <v>8493.3450000000012</v>
      </c>
      <c r="Q1368" t="str">
        <f t="shared" si="158"/>
        <v>music</v>
      </c>
      <c r="R1368" t="str">
        <f t="shared" si="159"/>
        <v>rock</v>
      </c>
      <c r="S1368" s="9">
        <f t="shared" si="156"/>
        <v>41924.787766203699</v>
      </c>
      <c r="T1368" s="9">
        <f t="shared" si="157"/>
        <v>41969.829432870371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52"/>
        <v>1.1426000000000001</v>
      </c>
      <c r="P1369">
        <f t="shared" si="153"/>
        <v>5356.5</v>
      </c>
      <c r="Q1369" t="str">
        <f t="shared" si="158"/>
        <v>music</v>
      </c>
      <c r="R1369" t="str">
        <f t="shared" si="159"/>
        <v>rock</v>
      </c>
      <c r="S1369" s="9">
        <f t="shared" si="156"/>
        <v>42291.794560185182</v>
      </c>
      <c r="T1369" s="9">
        <f t="shared" si="157"/>
        <v>42321.836226851847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52"/>
        <v>1.107</v>
      </c>
      <c r="P1370">
        <f t="shared" si="153"/>
        <v>5267.5</v>
      </c>
      <c r="Q1370" t="str">
        <f t="shared" si="158"/>
        <v>music</v>
      </c>
      <c r="R1370" t="str">
        <f t="shared" si="159"/>
        <v>rock</v>
      </c>
      <c r="S1370" s="9">
        <f t="shared" si="156"/>
        <v>42145.982569444437</v>
      </c>
      <c r="T1370" s="9">
        <f t="shared" si="157"/>
        <v>42169.982569444437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52"/>
        <v>1.0534805315203954</v>
      </c>
      <c r="P1371">
        <f t="shared" si="153"/>
        <v>33225.315000000002</v>
      </c>
      <c r="Q1371" t="str">
        <f t="shared" si="158"/>
        <v>music</v>
      </c>
      <c r="R1371" t="str">
        <f t="shared" si="159"/>
        <v>rock</v>
      </c>
      <c r="S1371" s="9">
        <f t="shared" si="156"/>
        <v>41710.385949074072</v>
      </c>
      <c r="T1371" s="9">
        <f t="shared" si="157"/>
        <v>41740.385949074072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52"/>
        <v>1.0366666666666666</v>
      </c>
      <c r="P1372">
        <f t="shared" si="153"/>
        <v>1527.5</v>
      </c>
      <c r="Q1372" t="str">
        <f t="shared" si="158"/>
        <v>music</v>
      </c>
      <c r="R1372" t="str">
        <f t="shared" si="159"/>
        <v>rock</v>
      </c>
      <c r="S1372" s="9">
        <f t="shared" si="156"/>
        <v>41547.795023148145</v>
      </c>
      <c r="T1372" s="9">
        <f t="shared" si="157"/>
        <v>41562.795023148145</v>
      </c>
    </row>
    <row r="1373" spans="1:20" ht="43.5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52"/>
        <v>1.0708672667523933</v>
      </c>
      <c r="P1373">
        <f t="shared" si="153"/>
        <v>7247</v>
      </c>
      <c r="Q1373" t="str">
        <f t="shared" si="158"/>
        <v>music</v>
      </c>
      <c r="R1373" t="str">
        <f t="shared" si="159"/>
        <v>rock</v>
      </c>
      <c r="S1373" s="9">
        <f t="shared" si="156"/>
        <v>42101.550254629627</v>
      </c>
      <c r="T1373" s="9">
        <f t="shared" si="157"/>
        <v>42131.550254629627</v>
      </c>
    </row>
    <row r="1374" spans="1:20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52"/>
        <v>1.24</v>
      </c>
      <c r="P1374">
        <f t="shared" si="153"/>
        <v>560</v>
      </c>
      <c r="Q1374" t="str">
        <f t="shared" si="158"/>
        <v>music</v>
      </c>
      <c r="R1374" t="str">
        <f t="shared" si="159"/>
        <v>rock</v>
      </c>
      <c r="S1374" s="9">
        <f t="shared" si="156"/>
        <v>41072.53162037037</v>
      </c>
      <c r="T1374" s="9">
        <f t="shared" si="157"/>
        <v>41102.53162037037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52"/>
        <v>1.0501</v>
      </c>
      <c r="P1375">
        <f t="shared" si="153"/>
        <v>10250.5</v>
      </c>
      <c r="Q1375" t="str">
        <f t="shared" si="158"/>
        <v>music</v>
      </c>
      <c r="R1375" t="str">
        <f t="shared" si="159"/>
        <v>rock</v>
      </c>
      <c r="S1375" s="9">
        <f t="shared" si="156"/>
        <v>42704.743437499994</v>
      </c>
      <c r="T1375" s="9">
        <f t="shared" si="157"/>
        <v>42734.743437499994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52"/>
        <v>1.8946666666666667</v>
      </c>
      <c r="P1376">
        <f t="shared" si="153"/>
        <v>2171</v>
      </c>
      <c r="Q1376" t="str">
        <f t="shared" si="158"/>
        <v>music</v>
      </c>
      <c r="R1376" t="str">
        <f t="shared" si="159"/>
        <v>rock</v>
      </c>
      <c r="S1376" s="9">
        <f t="shared" si="156"/>
        <v>42423.953564814808</v>
      </c>
      <c r="T1376" s="9">
        <f t="shared" si="157"/>
        <v>42453.911898148144</v>
      </c>
    </row>
    <row r="1377" spans="1:20" ht="43.5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52"/>
        <v>1.7132499999999999</v>
      </c>
      <c r="P1377">
        <f t="shared" si="153"/>
        <v>5426.5</v>
      </c>
      <c r="Q1377" t="str">
        <f t="shared" si="158"/>
        <v>music</v>
      </c>
      <c r="R1377" t="str">
        <f t="shared" si="159"/>
        <v>rock</v>
      </c>
      <c r="S1377" s="9">
        <f t="shared" si="156"/>
        <v>42719.857858796291</v>
      </c>
      <c r="T1377" s="9">
        <f t="shared" si="157"/>
        <v>42749.857858796291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52"/>
        <v>2.5248648648648651</v>
      </c>
      <c r="P1378">
        <f t="shared" si="153"/>
        <v>6521</v>
      </c>
      <c r="Q1378" t="str">
        <f t="shared" si="158"/>
        <v>music</v>
      </c>
      <c r="R1378" t="str">
        <f t="shared" si="159"/>
        <v>rock</v>
      </c>
      <c r="S1378" s="9">
        <f t="shared" si="156"/>
        <v>42677.460717592585</v>
      </c>
      <c r="T1378" s="9">
        <f t="shared" si="157"/>
        <v>42707.502384259256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52"/>
        <v>1.1615384615384616</v>
      </c>
      <c r="P1379">
        <f t="shared" si="153"/>
        <v>1405</v>
      </c>
      <c r="Q1379" t="str">
        <f t="shared" si="158"/>
        <v>music</v>
      </c>
      <c r="R1379" t="str">
        <f t="shared" si="159"/>
        <v>rock</v>
      </c>
      <c r="S1379" s="9">
        <f t="shared" si="156"/>
        <v>42747.01122685185</v>
      </c>
      <c r="T1379" s="9">
        <f t="shared" si="157"/>
        <v>42768.96597222222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52"/>
        <v>2.0335000000000001</v>
      </c>
      <c r="P1380">
        <f t="shared" si="153"/>
        <v>3033.5</v>
      </c>
      <c r="Q1380" t="str">
        <f t="shared" si="158"/>
        <v>music</v>
      </c>
      <c r="R1380" t="str">
        <f t="shared" si="159"/>
        <v>rock</v>
      </c>
      <c r="S1380" s="9">
        <f t="shared" si="156"/>
        <v>42568.551041666666</v>
      </c>
      <c r="T1380" s="9">
        <f t="shared" si="157"/>
        <v>42583.551041666666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52"/>
        <v>1.1160000000000001</v>
      </c>
      <c r="P1381">
        <f t="shared" si="153"/>
        <v>10580</v>
      </c>
      <c r="Q1381" t="str">
        <f t="shared" si="158"/>
        <v>music</v>
      </c>
      <c r="R1381" t="str">
        <f t="shared" si="159"/>
        <v>rock</v>
      </c>
      <c r="S1381" s="9">
        <f t="shared" si="156"/>
        <v>42130.283287037033</v>
      </c>
      <c r="T1381" s="9">
        <f t="shared" si="157"/>
        <v>42160.283287037033</v>
      </c>
    </row>
    <row r="1382" spans="1:20" ht="29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52"/>
        <v>4.24</v>
      </c>
      <c r="P1382">
        <f t="shared" si="153"/>
        <v>65.5</v>
      </c>
      <c r="Q1382" t="str">
        <f t="shared" si="158"/>
        <v>music</v>
      </c>
      <c r="R1382" t="str">
        <f t="shared" si="159"/>
        <v>rock</v>
      </c>
      <c r="S1382" s="9">
        <f t="shared" si="156"/>
        <v>42141.554467592585</v>
      </c>
      <c r="T1382" s="9">
        <f t="shared" si="157"/>
        <v>42163.874999999993</v>
      </c>
    </row>
    <row r="1383" spans="1:20" ht="43.5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52"/>
        <v>1.071</v>
      </c>
      <c r="P1383">
        <f t="shared" si="153"/>
        <v>5177.5</v>
      </c>
      <c r="Q1383" t="str">
        <f t="shared" si="158"/>
        <v>music</v>
      </c>
      <c r="R1383" t="str">
        <f t="shared" si="159"/>
        <v>rock</v>
      </c>
      <c r="S1383" s="9">
        <f t="shared" si="156"/>
        <v>42703.006076388883</v>
      </c>
      <c r="T1383" s="9">
        <f t="shared" si="157"/>
        <v>42733.006076388883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52"/>
        <v>1.043625</v>
      </c>
      <c r="P1384">
        <f t="shared" si="153"/>
        <v>8174.5</v>
      </c>
      <c r="Q1384" t="str">
        <f t="shared" si="158"/>
        <v>music</v>
      </c>
      <c r="R1384" t="str">
        <f t="shared" si="159"/>
        <v>rock</v>
      </c>
      <c r="S1384" s="9">
        <f t="shared" si="156"/>
        <v>41370.591851851852</v>
      </c>
      <c r="T1384" s="9">
        <f t="shared" si="157"/>
        <v>41400.591851851852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52"/>
        <v>2.124090909090909</v>
      </c>
      <c r="P1385">
        <f t="shared" si="153"/>
        <v>3436.5</v>
      </c>
      <c r="Q1385" t="str">
        <f t="shared" si="158"/>
        <v>music</v>
      </c>
      <c r="R1385" t="str">
        <f t="shared" si="159"/>
        <v>rock</v>
      </c>
      <c r="S1385" s="9">
        <f t="shared" si="156"/>
        <v>42706.866643518515</v>
      </c>
      <c r="T1385" s="9">
        <f t="shared" si="157"/>
        <v>42726.866643518515</v>
      </c>
    </row>
    <row r="1386" spans="1:20" ht="29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52"/>
        <v>1.2408571428571429</v>
      </c>
      <c r="P1386">
        <f t="shared" si="153"/>
        <v>3921.5</v>
      </c>
      <c r="Q1386" t="str">
        <f t="shared" si="158"/>
        <v>music</v>
      </c>
      <c r="R1386" t="str">
        <f t="shared" si="159"/>
        <v>rock</v>
      </c>
      <c r="S1386" s="9">
        <f t="shared" si="156"/>
        <v>42160.526874999996</v>
      </c>
      <c r="T1386" s="9">
        <f t="shared" si="157"/>
        <v>42190.526874999996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52"/>
        <v>1.10406125</v>
      </c>
      <c r="P1387">
        <f t="shared" si="153"/>
        <v>8416.244999999999</v>
      </c>
      <c r="Q1387" t="str">
        <f t="shared" si="158"/>
        <v>music</v>
      </c>
      <c r="R1387" t="str">
        <f t="shared" si="159"/>
        <v>rock</v>
      </c>
      <c r="S1387" s="9">
        <f t="shared" si="156"/>
        <v>42433.480567129627</v>
      </c>
      <c r="T1387" s="9">
        <f t="shared" si="157"/>
        <v>42489.299305555549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52"/>
        <v>2.1875</v>
      </c>
      <c r="P1388">
        <f t="shared" si="153"/>
        <v>637.5</v>
      </c>
      <c r="Q1388" t="str">
        <f t="shared" si="158"/>
        <v>music</v>
      </c>
      <c r="R1388" t="str">
        <f t="shared" si="159"/>
        <v>rock</v>
      </c>
      <c r="S1388" s="9">
        <f t="shared" si="156"/>
        <v>42184.438530092586</v>
      </c>
      <c r="T1388" s="9">
        <f t="shared" si="157"/>
        <v>42214.438530092586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52"/>
        <v>1.36625</v>
      </c>
      <c r="P1389">
        <f t="shared" si="153"/>
        <v>4732.5</v>
      </c>
      <c r="Q1389" t="str">
        <f t="shared" si="158"/>
        <v>music</v>
      </c>
      <c r="R1389" t="str">
        <f t="shared" si="159"/>
        <v>rock</v>
      </c>
      <c r="S1389" s="9">
        <f t="shared" si="156"/>
        <v>42126.712905092594</v>
      </c>
      <c r="T1389" s="9">
        <f t="shared" si="157"/>
        <v>42157.979166666664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52"/>
        <v>1.348074</v>
      </c>
      <c r="P1390">
        <f t="shared" si="153"/>
        <v>5870.1849999999995</v>
      </c>
      <c r="Q1390" t="str">
        <f t="shared" si="158"/>
        <v>music</v>
      </c>
      <c r="R1390" t="str">
        <f t="shared" si="159"/>
        <v>rock</v>
      </c>
      <c r="S1390" s="9">
        <f t="shared" si="156"/>
        <v>42634.406446759262</v>
      </c>
      <c r="T1390" s="9">
        <f t="shared" si="157"/>
        <v>42660.468055555553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52"/>
        <v>1.454</v>
      </c>
      <c r="P1391">
        <f t="shared" si="153"/>
        <v>613.5</v>
      </c>
      <c r="Q1391" t="str">
        <f t="shared" si="158"/>
        <v>music</v>
      </c>
      <c r="R1391" t="str">
        <f t="shared" si="159"/>
        <v>rock</v>
      </c>
      <c r="S1391" s="9">
        <f t="shared" si="156"/>
        <v>42565.272650462961</v>
      </c>
      <c r="T1391" s="9">
        <f t="shared" si="157"/>
        <v>42595.272650462961</v>
      </c>
    </row>
    <row r="1392" spans="1:20" ht="29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52"/>
        <v>1.0910714285714285</v>
      </c>
      <c r="P1392">
        <f t="shared" si="153"/>
        <v>2927.5</v>
      </c>
      <c r="Q1392" t="str">
        <f t="shared" si="158"/>
        <v>music</v>
      </c>
      <c r="R1392" t="str">
        <f t="shared" si="159"/>
        <v>rock</v>
      </c>
      <c r="S1392" s="9">
        <f t="shared" si="156"/>
        <v>42087.594976851855</v>
      </c>
      <c r="T1392" s="9">
        <f t="shared" si="157"/>
        <v>42121.508333333331</v>
      </c>
    </row>
    <row r="1393" spans="1:20" ht="29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52"/>
        <v>1.1020000000000001</v>
      </c>
      <c r="P1393">
        <f t="shared" si="153"/>
        <v>525.5</v>
      </c>
      <c r="Q1393" t="str">
        <f t="shared" si="158"/>
        <v>music</v>
      </c>
      <c r="R1393" t="str">
        <f t="shared" si="159"/>
        <v>rock</v>
      </c>
      <c r="S1393" s="9">
        <f t="shared" si="156"/>
        <v>42193.442337962959</v>
      </c>
      <c r="T1393" s="9">
        <f t="shared" si="157"/>
        <v>42237.999305555553</v>
      </c>
    </row>
    <row r="1394" spans="1:20" ht="29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52"/>
        <v>1.1364000000000001</v>
      </c>
      <c r="P1394">
        <f t="shared" si="153"/>
        <v>2670.5</v>
      </c>
      <c r="Q1394" t="str">
        <f t="shared" si="158"/>
        <v>music</v>
      </c>
      <c r="R1394" t="str">
        <f t="shared" si="159"/>
        <v>rock</v>
      </c>
      <c r="S1394" s="9">
        <f t="shared" si="156"/>
        <v>42400.946597222217</v>
      </c>
      <c r="T1394" s="9">
        <f t="shared" si="157"/>
        <v>42431.946597222217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52"/>
        <v>1.0235000000000001</v>
      </c>
      <c r="P1395">
        <f t="shared" si="153"/>
        <v>10117.5</v>
      </c>
      <c r="Q1395" t="str">
        <f t="shared" si="158"/>
        <v>music</v>
      </c>
      <c r="R1395" t="str">
        <f t="shared" si="159"/>
        <v>rock</v>
      </c>
      <c r="S1395" s="9">
        <f t="shared" si="156"/>
        <v>42553.473645833328</v>
      </c>
      <c r="T1395" s="9">
        <f t="shared" si="157"/>
        <v>42583.473645833328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52"/>
        <v>1.2213333333333334</v>
      </c>
      <c r="P1396">
        <f t="shared" si="153"/>
        <v>833</v>
      </c>
      <c r="Q1396" t="str">
        <f t="shared" si="158"/>
        <v>music</v>
      </c>
      <c r="R1396" t="str">
        <f t="shared" si="159"/>
        <v>rock</v>
      </c>
      <c r="S1396" s="9">
        <f t="shared" si="156"/>
        <v>42751.936643518515</v>
      </c>
      <c r="T1396" s="9">
        <f t="shared" si="157"/>
        <v>42794.916666666664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52"/>
        <v>1.1188571428571428</v>
      </c>
      <c r="P1397">
        <f t="shared" si="153"/>
        <v>3708</v>
      </c>
      <c r="Q1397" t="str">
        <f t="shared" si="158"/>
        <v>music</v>
      </c>
      <c r="R1397" t="str">
        <f t="shared" si="159"/>
        <v>rock</v>
      </c>
      <c r="S1397" s="9">
        <f t="shared" si="156"/>
        <v>42719.700011574074</v>
      </c>
      <c r="T1397" s="9">
        <f t="shared" si="157"/>
        <v>42749.700011574074</v>
      </c>
    </row>
    <row r="1398" spans="1:20" ht="43.5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52"/>
        <v>1.073</v>
      </c>
      <c r="P1398">
        <f t="shared" si="153"/>
        <v>6219</v>
      </c>
      <c r="Q1398" t="str">
        <f t="shared" si="158"/>
        <v>music</v>
      </c>
      <c r="R1398" t="str">
        <f t="shared" si="159"/>
        <v>rock</v>
      </c>
      <c r="S1398" s="9">
        <f t="shared" si="156"/>
        <v>42018.790300925924</v>
      </c>
      <c r="T1398" s="9">
        <f t="shared" si="157"/>
        <v>42048.790300925924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52"/>
        <v>1.1385000000000001</v>
      </c>
      <c r="P1399">
        <f t="shared" si="153"/>
        <v>10692.5</v>
      </c>
      <c r="Q1399" t="str">
        <f t="shared" si="158"/>
        <v>music</v>
      </c>
      <c r="R1399" t="str">
        <f t="shared" si="159"/>
        <v>rock</v>
      </c>
      <c r="S1399" s="9">
        <f t="shared" si="156"/>
        <v>42640.709606481476</v>
      </c>
      <c r="T1399" s="9">
        <f t="shared" si="157"/>
        <v>42670.679861111108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52"/>
        <v>1.0968181818181819</v>
      </c>
      <c r="P1400">
        <f t="shared" si="153"/>
        <v>4613</v>
      </c>
      <c r="Q1400" t="str">
        <f t="shared" si="158"/>
        <v>music</v>
      </c>
      <c r="R1400" t="str">
        <f t="shared" si="159"/>
        <v>rock</v>
      </c>
      <c r="S1400" s="9">
        <f t="shared" si="156"/>
        <v>42526.665902777771</v>
      </c>
      <c r="T1400" s="9">
        <f t="shared" si="157"/>
        <v>42556.665902777771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52"/>
        <v>1.2614444444444444</v>
      </c>
      <c r="P1401">
        <f t="shared" si="153"/>
        <v>10176.5</v>
      </c>
      <c r="Q1401" t="str">
        <f t="shared" si="158"/>
        <v>music</v>
      </c>
      <c r="R1401" t="str">
        <f t="shared" si="159"/>
        <v>rock</v>
      </c>
      <c r="S1401" s="9">
        <f t="shared" si="156"/>
        <v>41888.795983796292</v>
      </c>
      <c r="T1401" s="9">
        <f t="shared" si="157"/>
        <v>41918.795983796292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52"/>
        <v>1.6742857142857144</v>
      </c>
      <c r="P1402">
        <f t="shared" si="153"/>
        <v>468</v>
      </c>
      <c r="Q1402" t="str">
        <f t="shared" si="158"/>
        <v>music</v>
      </c>
      <c r="R1402" t="str">
        <f t="shared" si="159"/>
        <v>rock</v>
      </c>
      <c r="S1402" s="9">
        <f t="shared" si="156"/>
        <v>42498.132789351854</v>
      </c>
      <c r="T1402" s="9">
        <f t="shared" si="157"/>
        <v>42533.020833333336</v>
      </c>
    </row>
    <row r="1403" spans="1:20" ht="43.5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52"/>
        <v>4.9652000000000003</v>
      </c>
      <c r="P1403">
        <f t="shared" si="153"/>
        <v>7456.5</v>
      </c>
      <c r="Q1403" t="str">
        <f t="shared" si="158"/>
        <v>music</v>
      </c>
      <c r="R1403" t="str">
        <f t="shared" si="159"/>
        <v>rock</v>
      </c>
      <c r="S1403" s="9">
        <f t="shared" si="156"/>
        <v>41399.787893518514</v>
      </c>
      <c r="T1403" s="9">
        <f t="shared" si="157"/>
        <v>41420.787893518514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52"/>
        <v>1.0915999999999999</v>
      </c>
      <c r="P1404">
        <f t="shared" si="153"/>
        <v>2614.5</v>
      </c>
      <c r="Q1404" t="str">
        <f t="shared" si="158"/>
        <v>music</v>
      </c>
      <c r="R1404" t="str">
        <f t="shared" si="159"/>
        <v>rock</v>
      </c>
      <c r="S1404" s="9">
        <f t="shared" si="156"/>
        <v>42064.845034722217</v>
      </c>
      <c r="T1404" s="9">
        <f t="shared" si="157"/>
        <v>42124.803368055553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52"/>
        <v>1.0257499999999999</v>
      </c>
      <c r="P1405">
        <f t="shared" si="153"/>
        <v>4051.5</v>
      </c>
      <c r="Q1405" t="str">
        <f t="shared" si="158"/>
        <v>music</v>
      </c>
      <c r="R1405" t="str">
        <f t="shared" si="159"/>
        <v>rock</v>
      </c>
      <c r="S1405" s="9">
        <f t="shared" si="156"/>
        <v>41450.854571759257</v>
      </c>
      <c r="T1405" s="9">
        <f t="shared" si="157"/>
        <v>41480.854571759257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52"/>
        <v>1.6620689655172414E-2</v>
      </c>
      <c r="P1406">
        <f t="shared" si="153"/>
        <v>7370.5</v>
      </c>
      <c r="Q1406" t="str">
        <f>IF(N1406="publishing/translations","publishing")</f>
        <v>publishing</v>
      </c>
      <c r="R1406" t="str">
        <f>IF(N1406="publishing/translations","translations")</f>
        <v>translations</v>
      </c>
      <c r="S1406" s="9">
        <f t="shared" si="156"/>
        <v>42032.30190972222</v>
      </c>
      <c r="T1406" s="9">
        <f t="shared" si="157"/>
        <v>42057.30190972222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52"/>
        <v>4.1999999999999997E-3</v>
      </c>
      <c r="P1407">
        <f t="shared" si="153"/>
        <v>12552.5</v>
      </c>
      <c r="Q1407" t="str">
        <f t="shared" ref="Q1407:Q1462" si="160">IF(N1407="publishing/translations","publishing")</f>
        <v>publishing</v>
      </c>
      <c r="R1407" t="str">
        <f t="shared" ref="R1407:R1462" si="161">IF(N1407="publishing/translations","translations")</f>
        <v>translations</v>
      </c>
      <c r="S1407" s="9">
        <f t="shared" si="156"/>
        <v>41941.472233796296</v>
      </c>
      <c r="T1407" s="9">
        <f t="shared" si="157"/>
        <v>41971.51390046296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52"/>
        <v>1.25E-3</v>
      </c>
      <c r="P1408">
        <f t="shared" si="153"/>
        <v>6007.5</v>
      </c>
      <c r="Q1408" t="str">
        <f t="shared" si="160"/>
        <v>publishing</v>
      </c>
      <c r="R1408" t="str">
        <f t="shared" si="161"/>
        <v>translations</v>
      </c>
      <c r="S1408" s="9">
        <f t="shared" si="156"/>
        <v>42297.224618055552</v>
      </c>
      <c r="T1408" s="9">
        <f t="shared" si="157"/>
        <v>42350.208333333336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52"/>
        <v>5.0000000000000001E-3</v>
      </c>
      <c r="P1409">
        <f t="shared" si="153"/>
        <v>1507.5</v>
      </c>
      <c r="Q1409" t="str">
        <f t="shared" si="160"/>
        <v>publishing</v>
      </c>
      <c r="R1409" t="str">
        <f t="shared" si="161"/>
        <v>translations</v>
      </c>
      <c r="S1409" s="9">
        <f t="shared" si="156"/>
        <v>41838.32844907407</v>
      </c>
      <c r="T1409" s="9">
        <f t="shared" si="157"/>
        <v>41863.32844907407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52"/>
        <v>7.1999999999999995E-2</v>
      </c>
      <c r="P1410">
        <f t="shared" si="153"/>
        <v>536</v>
      </c>
      <c r="Q1410" t="str">
        <f t="shared" si="160"/>
        <v>publishing</v>
      </c>
      <c r="R1410" t="str">
        <f t="shared" si="161"/>
        <v>translations</v>
      </c>
      <c r="S1410" s="9">
        <f t="shared" si="156"/>
        <v>42291.663842592585</v>
      </c>
      <c r="T1410" s="9">
        <f t="shared" si="157"/>
        <v>42321.705509259256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62">E1411/D1411</f>
        <v>0</v>
      </c>
      <c r="P1411">
        <f t="shared" ref="P1411:P1474" si="163">AVERAGE(D1411:E1411)</f>
        <v>2000</v>
      </c>
      <c r="Q1411" t="str">
        <f t="shared" si="160"/>
        <v>publishing</v>
      </c>
      <c r="R1411" t="str">
        <f t="shared" si="161"/>
        <v>translations</v>
      </c>
      <c r="S1411" s="9">
        <f t="shared" ref="S1411:S1474" si="164">J1411/86400+25569+(-5/24)</f>
        <v>41944.925173611111</v>
      </c>
      <c r="T1411" s="9">
        <f t="shared" si="157"/>
        <v>42004.966840277775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62"/>
        <v>1.6666666666666666E-4</v>
      </c>
      <c r="P1412">
        <f t="shared" si="163"/>
        <v>3000.5</v>
      </c>
      <c r="Q1412" t="str">
        <f t="shared" si="160"/>
        <v>publishing</v>
      </c>
      <c r="R1412" t="str">
        <f t="shared" si="161"/>
        <v>translations</v>
      </c>
      <c r="S1412" s="9">
        <f t="shared" si="164"/>
        <v>42479.110185185178</v>
      </c>
      <c r="T1412" s="9">
        <f t="shared" ref="T1412:T1475" si="165">I1412/86400+25569+(-5/24)</f>
        <v>42524.110185185178</v>
      </c>
    </row>
    <row r="1413" spans="1:20" ht="43.5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62"/>
        <v>2.3333333333333335E-3</v>
      </c>
      <c r="P1413">
        <f t="shared" si="163"/>
        <v>1503.5</v>
      </c>
      <c r="Q1413" t="str">
        <f t="shared" si="160"/>
        <v>publishing</v>
      </c>
      <c r="R1413" t="str">
        <f t="shared" si="161"/>
        <v>translations</v>
      </c>
      <c r="S1413" s="9">
        <f t="shared" si="164"/>
        <v>42012.850694444445</v>
      </c>
      <c r="T1413" s="9">
        <f t="shared" si="165"/>
        <v>42040.850694444445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62"/>
        <v>4.5714285714285714E-2</v>
      </c>
      <c r="P1414">
        <f t="shared" si="163"/>
        <v>3660</v>
      </c>
      <c r="Q1414" t="str">
        <f t="shared" si="160"/>
        <v>publishing</v>
      </c>
      <c r="R1414" t="str">
        <f t="shared" si="161"/>
        <v>translations</v>
      </c>
      <c r="S1414" s="9">
        <f t="shared" si="164"/>
        <v>41946.855312499996</v>
      </c>
      <c r="T1414" s="9">
        <f t="shared" si="165"/>
        <v>41976.855312499996</v>
      </c>
    </row>
    <row r="1415" spans="1:20" ht="43.5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62"/>
        <v>0.05</v>
      </c>
      <c r="P1415">
        <f t="shared" si="163"/>
        <v>1050</v>
      </c>
      <c r="Q1415" t="str">
        <f t="shared" si="160"/>
        <v>publishing</v>
      </c>
      <c r="R1415" t="str">
        <f t="shared" si="161"/>
        <v>translations</v>
      </c>
      <c r="S1415" s="9">
        <f t="shared" si="164"/>
        <v>42360.228819444441</v>
      </c>
      <c r="T1415" s="9">
        <f t="shared" si="165"/>
        <v>42420.228819444441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62"/>
        <v>2E-3</v>
      </c>
      <c r="P1416">
        <f t="shared" si="163"/>
        <v>250.5</v>
      </c>
      <c r="Q1416" t="str">
        <f t="shared" si="160"/>
        <v>publishing</v>
      </c>
      <c r="R1416" t="str">
        <f t="shared" si="161"/>
        <v>translations</v>
      </c>
      <c r="S1416" s="9">
        <f t="shared" si="164"/>
        <v>42708.044756944444</v>
      </c>
      <c r="T1416" s="9">
        <f t="shared" si="165"/>
        <v>42738.044756944444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62"/>
        <v>0.18181818181818182</v>
      </c>
      <c r="P1417">
        <f t="shared" si="163"/>
        <v>2600</v>
      </c>
      <c r="Q1417" t="str">
        <f t="shared" si="160"/>
        <v>publishing</v>
      </c>
      <c r="R1417" t="str">
        <f t="shared" si="161"/>
        <v>translations</v>
      </c>
      <c r="S1417" s="9">
        <f t="shared" si="164"/>
        <v>42192.467488425922</v>
      </c>
      <c r="T1417" s="9">
        <f t="shared" si="165"/>
        <v>42232.467488425922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62"/>
        <v>0</v>
      </c>
      <c r="P1418">
        <f t="shared" si="163"/>
        <v>25000</v>
      </c>
      <c r="Q1418" t="str">
        <f t="shared" si="160"/>
        <v>publishing</v>
      </c>
      <c r="R1418" t="str">
        <f t="shared" si="161"/>
        <v>translations</v>
      </c>
      <c r="S1418" s="9">
        <f t="shared" si="164"/>
        <v>42299.717812499999</v>
      </c>
      <c r="T1418" s="9">
        <f t="shared" si="165"/>
        <v>42329.759479166663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62"/>
        <v>1.2222222222222223E-2</v>
      </c>
      <c r="P1419">
        <f t="shared" si="163"/>
        <v>2277.5</v>
      </c>
      <c r="Q1419" t="str">
        <f t="shared" si="160"/>
        <v>publishing</v>
      </c>
      <c r="R1419" t="str">
        <f t="shared" si="161"/>
        <v>translations</v>
      </c>
      <c r="S1419" s="9">
        <f t="shared" si="164"/>
        <v>42231.941828703704</v>
      </c>
      <c r="T1419" s="9">
        <f t="shared" si="165"/>
        <v>42262.257638888885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62"/>
        <v>2E-3</v>
      </c>
      <c r="P1420">
        <f t="shared" si="163"/>
        <v>1503</v>
      </c>
      <c r="Q1420" t="str">
        <f t="shared" si="160"/>
        <v>publishing</v>
      </c>
      <c r="R1420" t="str">
        <f t="shared" si="161"/>
        <v>translations</v>
      </c>
      <c r="S1420" s="9">
        <f t="shared" si="164"/>
        <v>42395.248078703698</v>
      </c>
      <c r="T1420" s="9">
        <f t="shared" si="165"/>
        <v>42425.248078703698</v>
      </c>
    </row>
    <row r="1421" spans="1:20" ht="43.5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62"/>
        <v>7.0634920634920634E-2</v>
      </c>
      <c r="P1421">
        <f t="shared" si="163"/>
        <v>3372.5</v>
      </c>
      <c r="Q1421" t="str">
        <f t="shared" si="160"/>
        <v>publishing</v>
      </c>
      <c r="R1421" t="str">
        <f t="shared" si="161"/>
        <v>translations</v>
      </c>
      <c r="S1421" s="9">
        <f t="shared" si="164"/>
        <v>42622.24790509259</v>
      </c>
      <c r="T1421" s="9">
        <f t="shared" si="165"/>
        <v>42652.24790509259</v>
      </c>
    </row>
    <row r="1422" spans="1:20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62"/>
        <v>2.7272727272727271E-2</v>
      </c>
      <c r="P1422">
        <f t="shared" si="163"/>
        <v>56.5</v>
      </c>
      <c r="Q1422" t="str">
        <f t="shared" si="160"/>
        <v>publishing</v>
      </c>
      <c r="R1422" t="str">
        <f t="shared" si="161"/>
        <v>translations</v>
      </c>
      <c r="S1422" s="9">
        <f t="shared" si="164"/>
        <v>42524.459328703706</v>
      </c>
      <c r="T1422" s="9">
        <f t="shared" si="165"/>
        <v>42549.459328703706</v>
      </c>
    </row>
    <row r="1423" spans="1:20" ht="43.5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62"/>
        <v>1E-3</v>
      </c>
      <c r="P1423">
        <f t="shared" si="163"/>
        <v>100100</v>
      </c>
      <c r="Q1423" t="str">
        <f t="shared" si="160"/>
        <v>publishing</v>
      </c>
      <c r="R1423" t="str">
        <f t="shared" si="161"/>
        <v>translations</v>
      </c>
      <c r="S1423" s="9">
        <f t="shared" si="164"/>
        <v>42013.707280092589</v>
      </c>
      <c r="T1423" s="9">
        <f t="shared" si="165"/>
        <v>42043.707280092589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62"/>
        <v>1.0399999999999999E-3</v>
      </c>
      <c r="P1424">
        <f t="shared" si="163"/>
        <v>12513</v>
      </c>
      <c r="Q1424" t="str">
        <f t="shared" si="160"/>
        <v>publishing</v>
      </c>
      <c r="R1424" t="str">
        <f t="shared" si="161"/>
        <v>translations</v>
      </c>
      <c r="S1424" s="9">
        <f t="shared" si="164"/>
        <v>42604.031296296293</v>
      </c>
      <c r="T1424" s="9">
        <f t="shared" si="165"/>
        <v>42634.031296296293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62"/>
        <v>3.3333333333333335E-3</v>
      </c>
      <c r="P1425">
        <f t="shared" si="163"/>
        <v>15050</v>
      </c>
      <c r="Q1425" t="str">
        <f t="shared" si="160"/>
        <v>publishing</v>
      </c>
      <c r="R1425" t="str">
        <f t="shared" si="161"/>
        <v>translations</v>
      </c>
      <c r="S1425" s="9">
        <f t="shared" si="164"/>
        <v>42340.151979166665</v>
      </c>
      <c r="T1425" s="9">
        <f t="shared" si="165"/>
        <v>42370.151979166665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62"/>
        <v>0.2036</v>
      </c>
      <c r="P1426">
        <f t="shared" si="163"/>
        <v>4513.5</v>
      </c>
      <c r="Q1426" t="str">
        <f t="shared" si="160"/>
        <v>publishing</v>
      </c>
      <c r="R1426" t="str">
        <f t="shared" si="161"/>
        <v>translations</v>
      </c>
      <c r="S1426" s="9">
        <f t="shared" si="164"/>
        <v>42676.509282407402</v>
      </c>
      <c r="T1426" s="9">
        <f t="shared" si="165"/>
        <v>42689.550949074073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62"/>
        <v>0</v>
      </c>
      <c r="P1427">
        <f t="shared" si="163"/>
        <v>6500</v>
      </c>
      <c r="Q1427" t="str">
        <f t="shared" si="160"/>
        <v>publishing</v>
      </c>
      <c r="R1427" t="str">
        <f t="shared" si="161"/>
        <v>translations</v>
      </c>
      <c r="S1427" s="9">
        <f t="shared" si="164"/>
        <v>42092.923136574071</v>
      </c>
      <c r="T1427" s="9">
        <f t="shared" si="165"/>
        <v>42122.923136574071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62"/>
        <v>0</v>
      </c>
      <c r="P1428">
        <f t="shared" si="163"/>
        <v>500</v>
      </c>
      <c r="Q1428" t="str">
        <f t="shared" si="160"/>
        <v>publishing</v>
      </c>
      <c r="R1428" t="str">
        <f t="shared" si="161"/>
        <v>translations</v>
      </c>
      <c r="S1428" s="9">
        <f t="shared" si="164"/>
        <v>42180.181944444441</v>
      </c>
      <c r="T1428" s="9">
        <f t="shared" si="165"/>
        <v>42240.181944444441</v>
      </c>
    </row>
    <row r="1429" spans="1:20" ht="43.5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62"/>
        <v>8.3799999999999999E-2</v>
      </c>
      <c r="P1429">
        <f t="shared" si="163"/>
        <v>2709.5</v>
      </c>
      <c r="Q1429" t="str">
        <f t="shared" si="160"/>
        <v>publishing</v>
      </c>
      <c r="R1429" t="str">
        <f t="shared" si="161"/>
        <v>translations</v>
      </c>
      <c r="S1429" s="9">
        <f t="shared" si="164"/>
        <v>42601.643344907403</v>
      </c>
      <c r="T1429" s="9">
        <f t="shared" si="165"/>
        <v>42631.643344907403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62"/>
        <v>4.4999999999999998E-2</v>
      </c>
      <c r="P1430">
        <f t="shared" si="163"/>
        <v>522.5</v>
      </c>
      <c r="Q1430" t="str">
        <f t="shared" si="160"/>
        <v>publishing</v>
      </c>
      <c r="R1430" t="str">
        <f t="shared" si="161"/>
        <v>translations</v>
      </c>
      <c r="S1430" s="9">
        <f t="shared" si="164"/>
        <v>42432.171493055554</v>
      </c>
      <c r="T1430" s="9">
        <f t="shared" si="165"/>
        <v>42462.129826388882</v>
      </c>
    </row>
    <row r="1431" spans="1:20" ht="29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62"/>
        <v>0</v>
      </c>
      <c r="P1431">
        <f t="shared" si="163"/>
        <v>5000</v>
      </c>
      <c r="Q1431" t="str">
        <f t="shared" si="160"/>
        <v>publishing</v>
      </c>
      <c r="R1431" t="str">
        <f t="shared" si="161"/>
        <v>translations</v>
      </c>
      <c r="S1431" s="9">
        <f t="shared" si="164"/>
        <v>42073.852337962962</v>
      </c>
      <c r="T1431" s="9">
        <f t="shared" si="165"/>
        <v>42103.852337962962</v>
      </c>
    </row>
    <row r="1432" spans="1:20" ht="29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62"/>
        <v>8.0600000000000005E-2</v>
      </c>
      <c r="P1432">
        <f t="shared" si="163"/>
        <v>2701.5</v>
      </c>
      <c r="Q1432" t="str">
        <f t="shared" si="160"/>
        <v>publishing</v>
      </c>
      <c r="R1432" t="str">
        <f t="shared" si="161"/>
        <v>translations</v>
      </c>
      <c r="S1432" s="9">
        <f t="shared" si="164"/>
        <v>41961.605185185188</v>
      </c>
      <c r="T1432" s="9">
        <f t="shared" si="165"/>
        <v>41992.605185185188</v>
      </c>
    </row>
    <row r="1433" spans="1:20" ht="43.5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62"/>
        <v>0.31947058823529412</v>
      </c>
      <c r="P1433">
        <f t="shared" si="163"/>
        <v>11215.5</v>
      </c>
      <c r="Q1433" t="str">
        <f t="shared" si="160"/>
        <v>publishing</v>
      </c>
      <c r="R1433" t="str">
        <f t="shared" si="161"/>
        <v>translations</v>
      </c>
      <c r="S1433" s="9">
        <f t="shared" si="164"/>
        <v>42304.002499999995</v>
      </c>
      <c r="T1433" s="9">
        <f t="shared" si="165"/>
        <v>42334.044166666667</v>
      </c>
    </row>
    <row r="1434" spans="1:20" ht="43.5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62"/>
        <v>0</v>
      </c>
      <c r="P1434">
        <f t="shared" si="163"/>
        <v>20000</v>
      </c>
      <c r="Q1434" t="str">
        <f t="shared" si="160"/>
        <v>publishing</v>
      </c>
      <c r="R1434" t="str">
        <f t="shared" si="161"/>
        <v>translations</v>
      </c>
      <c r="S1434" s="9">
        <f t="shared" si="164"/>
        <v>42175.572083333333</v>
      </c>
      <c r="T1434" s="9">
        <f t="shared" si="165"/>
        <v>42205.572083333333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62"/>
        <v>6.7083333333333328E-2</v>
      </c>
      <c r="P1435">
        <f t="shared" si="163"/>
        <v>6402.5</v>
      </c>
      <c r="Q1435" t="str">
        <f t="shared" si="160"/>
        <v>publishing</v>
      </c>
      <c r="R1435" t="str">
        <f t="shared" si="161"/>
        <v>translations</v>
      </c>
      <c r="S1435" s="9">
        <f t="shared" si="164"/>
        <v>42673.417534722219</v>
      </c>
      <c r="T1435" s="9">
        <f t="shared" si="165"/>
        <v>42714.249999999993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62"/>
        <v>9.987804878048781E-2</v>
      </c>
      <c r="P1436">
        <f t="shared" si="163"/>
        <v>45095</v>
      </c>
      <c r="Q1436" t="str">
        <f t="shared" si="160"/>
        <v>publishing</v>
      </c>
      <c r="R1436" t="str">
        <f t="shared" si="161"/>
        <v>translations</v>
      </c>
      <c r="S1436" s="9">
        <f t="shared" si="164"/>
        <v>42142.558773148143</v>
      </c>
      <c r="T1436" s="9">
        <f t="shared" si="165"/>
        <v>42163.416666666664</v>
      </c>
    </row>
    <row r="1437" spans="1:20" ht="29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62"/>
        <v>1E-3</v>
      </c>
      <c r="P1437">
        <f t="shared" si="163"/>
        <v>7507.5</v>
      </c>
      <c r="Q1437" t="str">
        <f t="shared" si="160"/>
        <v>publishing</v>
      </c>
      <c r="R1437" t="str">
        <f t="shared" si="161"/>
        <v>translations</v>
      </c>
      <c r="S1437" s="9">
        <f t="shared" si="164"/>
        <v>42258.57199074074</v>
      </c>
      <c r="T1437" s="9">
        <f t="shared" si="165"/>
        <v>42288.57199074074</v>
      </c>
    </row>
    <row r="1438" spans="1:20" ht="43.5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62"/>
        <v>7.7000000000000002E-3</v>
      </c>
      <c r="P1438">
        <f t="shared" si="163"/>
        <v>5038.5</v>
      </c>
      <c r="Q1438" t="str">
        <f t="shared" si="160"/>
        <v>publishing</v>
      </c>
      <c r="R1438" t="str">
        <f t="shared" si="161"/>
        <v>translations</v>
      </c>
      <c r="S1438" s="9">
        <f t="shared" si="164"/>
        <v>42391.141863425924</v>
      </c>
      <c r="T1438" s="9">
        <f t="shared" si="165"/>
        <v>42421.141863425924</v>
      </c>
    </row>
    <row r="1439" spans="1:20" ht="43.5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62"/>
        <v>0.26900000000000002</v>
      </c>
      <c r="P1439">
        <f t="shared" si="163"/>
        <v>1903.5</v>
      </c>
      <c r="Q1439" t="str">
        <f t="shared" si="160"/>
        <v>publishing</v>
      </c>
      <c r="R1439" t="str">
        <f t="shared" si="161"/>
        <v>translations</v>
      </c>
      <c r="S1439" s="9">
        <f t="shared" si="164"/>
        <v>41796.32336805555</v>
      </c>
      <c r="T1439" s="9">
        <f t="shared" si="165"/>
        <v>41832.999305555553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62"/>
        <v>0.03</v>
      </c>
      <c r="P1440">
        <f t="shared" si="163"/>
        <v>10300</v>
      </c>
      <c r="Q1440" t="str">
        <f t="shared" si="160"/>
        <v>publishing</v>
      </c>
      <c r="R1440" t="str">
        <f t="shared" si="161"/>
        <v>translations</v>
      </c>
      <c r="S1440" s="9">
        <f t="shared" si="164"/>
        <v>42457.663182870368</v>
      </c>
      <c r="T1440" s="9">
        <f t="shared" si="165"/>
        <v>42487.371527777774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62"/>
        <v>6.6055045871559637E-2</v>
      </c>
      <c r="P1441">
        <f t="shared" si="163"/>
        <v>1452.5</v>
      </c>
      <c r="Q1441" t="str">
        <f t="shared" si="160"/>
        <v>publishing</v>
      </c>
      <c r="R1441" t="str">
        <f t="shared" si="161"/>
        <v>translations</v>
      </c>
      <c r="S1441" s="9">
        <f t="shared" si="164"/>
        <v>42040.621539351851</v>
      </c>
      <c r="T1441" s="9">
        <f t="shared" si="165"/>
        <v>42070.621539351851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62"/>
        <v>7.6923076923076926E-5</v>
      </c>
      <c r="P1442">
        <f t="shared" si="163"/>
        <v>6500.5</v>
      </c>
      <c r="Q1442" t="str">
        <f t="shared" si="160"/>
        <v>publishing</v>
      </c>
      <c r="R1442" t="str">
        <f t="shared" si="161"/>
        <v>translations</v>
      </c>
      <c r="S1442" s="9">
        <f t="shared" si="164"/>
        <v>42486.540081018517</v>
      </c>
      <c r="T1442" s="9">
        <f t="shared" si="165"/>
        <v>42516.540081018517</v>
      </c>
    </row>
    <row r="1443" spans="1:20" ht="43.5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62"/>
        <v>1.1222222222222222E-2</v>
      </c>
      <c r="P1443">
        <f t="shared" si="163"/>
        <v>91010</v>
      </c>
      <c r="Q1443" t="str">
        <f t="shared" si="160"/>
        <v>publishing</v>
      </c>
      <c r="R1443" t="str">
        <f t="shared" si="161"/>
        <v>translations</v>
      </c>
      <c r="S1443" s="9">
        <f t="shared" si="164"/>
        <v>42198.557511574072</v>
      </c>
      <c r="T1443" s="9">
        <f t="shared" si="165"/>
        <v>42258.557511574072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62"/>
        <v>0</v>
      </c>
      <c r="P1444">
        <f t="shared" si="163"/>
        <v>750</v>
      </c>
      <c r="Q1444" t="str">
        <f t="shared" si="160"/>
        <v>publishing</v>
      </c>
      <c r="R1444" t="str">
        <f t="shared" si="161"/>
        <v>translations</v>
      </c>
      <c r="S1444" s="9">
        <f t="shared" si="164"/>
        <v>42485.437013888884</v>
      </c>
      <c r="T1444" s="9">
        <f t="shared" si="165"/>
        <v>42515.437013888884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62"/>
        <v>0</v>
      </c>
      <c r="P1445">
        <f t="shared" si="163"/>
        <v>6500</v>
      </c>
      <c r="Q1445" t="str">
        <f t="shared" si="160"/>
        <v>publishing</v>
      </c>
      <c r="R1445" t="str">
        <f t="shared" si="161"/>
        <v>translations</v>
      </c>
      <c r="S1445" s="9">
        <f t="shared" si="164"/>
        <v>42707.71769675926</v>
      </c>
      <c r="T1445" s="9">
        <f t="shared" si="165"/>
        <v>42737.71769675926</v>
      </c>
    </row>
    <row r="1446" spans="1:20" ht="29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62"/>
        <v>0</v>
      </c>
      <c r="P1446">
        <f t="shared" si="163"/>
        <v>2475</v>
      </c>
      <c r="Q1446" t="str">
        <f t="shared" si="160"/>
        <v>publishing</v>
      </c>
      <c r="R1446" t="str">
        <f t="shared" si="161"/>
        <v>translations</v>
      </c>
      <c r="S1446" s="9">
        <f t="shared" si="164"/>
        <v>42199.665069444447</v>
      </c>
      <c r="T1446" s="9">
        <f t="shared" si="165"/>
        <v>42259.665069444447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62"/>
        <v>0</v>
      </c>
      <c r="P1447">
        <f t="shared" si="163"/>
        <v>65000</v>
      </c>
      <c r="Q1447" t="str">
        <f t="shared" si="160"/>
        <v>publishing</v>
      </c>
      <c r="R1447" t="str">
        <f t="shared" si="161"/>
        <v>translations</v>
      </c>
      <c r="S1447" s="9">
        <f t="shared" si="164"/>
        <v>42139.333969907406</v>
      </c>
      <c r="T1447" s="9">
        <f t="shared" si="165"/>
        <v>42169.333969907406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62"/>
        <v>0</v>
      </c>
      <c r="P1448">
        <f t="shared" si="163"/>
        <v>450</v>
      </c>
      <c r="Q1448" t="str">
        <f t="shared" si="160"/>
        <v>publishing</v>
      </c>
      <c r="R1448" t="str">
        <f t="shared" si="161"/>
        <v>translations</v>
      </c>
      <c r="S1448" s="9">
        <f t="shared" si="164"/>
        <v>42461.239328703705</v>
      </c>
      <c r="T1448" s="9">
        <f t="shared" si="165"/>
        <v>42481.239328703705</v>
      </c>
    </row>
    <row r="1449" spans="1:20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62"/>
        <v>1.4999999999999999E-4</v>
      </c>
      <c r="P1449">
        <f t="shared" si="163"/>
        <v>250037.5</v>
      </c>
      <c r="Q1449" t="str">
        <f t="shared" si="160"/>
        <v>publishing</v>
      </c>
      <c r="R1449" t="str">
        <f t="shared" si="161"/>
        <v>translations</v>
      </c>
      <c r="S1449" s="9">
        <f t="shared" si="164"/>
        <v>42529.52238425926</v>
      </c>
      <c r="T1449" s="9">
        <f t="shared" si="165"/>
        <v>42559.52238425926</v>
      </c>
    </row>
    <row r="1450" spans="1:20" ht="43.5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62"/>
        <v>0</v>
      </c>
      <c r="P1450">
        <f t="shared" si="163"/>
        <v>100000</v>
      </c>
      <c r="Q1450" t="str">
        <f t="shared" si="160"/>
        <v>publishing</v>
      </c>
      <c r="R1450" t="str">
        <f t="shared" si="161"/>
        <v>translations</v>
      </c>
      <c r="S1450" s="9">
        <f t="shared" si="164"/>
        <v>42115.728217592587</v>
      </c>
      <c r="T1450" s="9">
        <f t="shared" si="165"/>
        <v>42146.017361111109</v>
      </c>
    </row>
    <row r="1451" spans="1:20" ht="43.5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62"/>
        <v>0</v>
      </c>
      <c r="P1451">
        <f t="shared" si="163"/>
        <v>4444</v>
      </c>
      <c r="Q1451" t="str">
        <f t="shared" si="160"/>
        <v>publishing</v>
      </c>
      <c r="R1451" t="str">
        <f t="shared" si="161"/>
        <v>translations</v>
      </c>
      <c r="S1451" s="9">
        <f t="shared" si="164"/>
        <v>42086.603067129625</v>
      </c>
      <c r="T1451" s="9">
        <f t="shared" si="165"/>
        <v>42134.603067129625</v>
      </c>
    </row>
    <row r="1452" spans="1:20" ht="43.5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62"/>
        <v>1.0000000000000001E-5</v>
      </c>
      <c r="P1452">
        <f t="shared" si="163"/>
        <v>50000.5</v>
      </c>
      <c r="Q1452" t="str">
        <f t="shared" si="160"/>
        <v>publishing</v>
      </c>
      <c r="R1452" t="str">
        <f t="shared" si="161"/>
        <v>translations</v>
      </c>
      <c r="S1452" s="9">
        <f t="shared" si="164"/>
        <v>42389.962928240733</v>
      </c>
      <c r="T1452" s="9">
        <f t="shared" si="165"/>
        <v>42419.962928240733</v>
      </c>
    </row>
    <row r="1453" spans="1:20" ht="29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62"/>
        <v>1.0554089709762533E-4</v>
      </c>
      <c r="P1453">
        <f t="shared" si="163"/>
        <v>9476</v>
      </c>
      <c r="Q1453" t="str">
        <f t="shared" si="160"/>
        <v>publishing</v>
      </c>
      <c r="R1453" t="str">
        <f t="shared" si="161"/>
        <v>translations</v>
      </c>
      <c r="S1453" s="9">
        <f t="shared" si="164"/>
        <v>41931.75068287037</v>
      </c>
      <c r="T1453" s="9">
        <f t="shared" si="165"/>
        <v>41961.792349537034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62"/>
        <v>0</v>
      </c>
      <c r="P1454">
        <f t="shared" si="163"/>
        <v>7000</v>
      </c>
      <c r="Q1454" t="str">
        <f t="shared" si="160"/>
        <v>publishing</v>
      </c>
      <c r="R1454" t="str">
        <f t="shared" si="161"/>
        <v>translations</v>
      </c>
      <c r="S1454" s="9">
        <f t="shared" si="164"/>
        <v>41818.494942129626</v>
      </c>
      <c r="T1454" s="9">
        <f t="shared" si="165"/>
        <v>41848.494942129626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62"/>
        <v>0</v>
      </c>
      <c r="P1455">
        <f t="shared" si="163"/>
        <v>12500</v>
      </c>
      <c r="Q1455" t="str">
        <f t="shared" si="160"/>
        <v>publishing</v>
      </c>
      <c r="R1455" t="str">
        <f t="shared" si="161"/>
        <v>translations</v>
      </c>
      <c r="S1455" s="9">
        <f t="shared" si="164"/>
        <v>42795.487812499996</v>
      </c>
      <c r="T1455" s="9">
        <f t="shared" si="165"/>
        <v>42840.446145833332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62"/>
        <v>8.5714285714285719E-3</v>
      </c>
      <c r="P1456">
        <f t="shared" si="163"/>
        <v>882.5</v>
      </c>
      <c r="Q1456" t="str">
        <f t="shared" si="160"/>
        <v>publishing</v>
      </c>
      <c r="R1456" t="str">
        <f t="shared" si="161"/>
        <v>translations</v>
      </c>
      <c r="S1456" s="9">
        <f t="shared" si="164"/>
        <v>42463.658333333333</v>
      </c>
      <c r="T1456" s="9">
        <f t="shared" si="165"/>
        <v>42484.707638888889</v>
      </c>
    </row>
    <row r="1457" spans="1:20" ht="43.5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62"/>
        <v>0.105</v>
      </c>
      <c r="P1457">
        <f t="shared" si="163"/>
        <v>8287.5</v>
      </c>
      <c r="Q1457" t="str">
        <f t="shared" si="160"/>
        <v>publishing</v>
      </c>
      <c r="R1457" t="str">
        <f t="shared" si="161"/>
        <v>translations</v>
      </c>
      <c r="S1457" s="9">
        <f t="shared" si="164"/>
        <v>41832.46435185185</v>
      </c>
      <c r="T1457" s="9">
        <f t="shared" si="165"/>
        <v>41887.360416666663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62"/>
        <v>2.9000000000000001E-2</v>
      </c>
      <c r="P1458">
        <f t="shared" si="163"/>
        <v>2572.5</v>
      </c>
      <c r="Q1458" t="str">
        <f t="shared" si="160"/>
        <v>publishing</v>
      </c>
      <c r="R1458" t="str">
        <f t="shared" si="161"/>
        <v>translations</v>
      </c>
      <c r="S1458" s="9">
        <f t="shared" si="164"/>
        <v>42708.460243055553</v>
      </c>
      <c r="T1458" s="9">
        <f t="shared" si="165"/>
        <v>42738.460243055553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62"/>
        <v>0</v>
      </c>
      <c r="P1459">
        <f t="shared" si="163"/>
        <v>3000</v>
      </c>
      <c r="Q1459" t="str">
        <f t="shared" si="160"/>
        <v>publishing</v>
      </c>
      <c r="R1459" t="str">
        <f t="shared" si="161"/>
        <v>translations</v>
      </c>
      <c r="S1459" s="9">
        <f t="shared" si="164"/>
        <v>42289.688009259255</v>
      </c>
      <c r="T1459" s="9">
        <f t="shared" si="165"/>
        <v>42319.729675925926</v>
      </c>
    </row>
    <row r="1460" spans="1:20" ht="43.5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62"/>
        <v>0</v>
      </c>
      <c r="P1460">
        <f t="shared" si="163"/>
        <v>2500</v>
      </c>
      <c r="Q1460" t="str">
        <f t="shared" si="160"/>
        <v>publishing</v>
      </c>
      <c r="R1460" t="str">
        <f t="shared" si="161"/>
        <v>translations</v>
      </c>
      <c r="S1460" s="9">
        <f t="shared" si="164"/>
        <v>41831.49722222222</v>
      </c>
      <c r="T1460" s="9">
        <f t="shared" si="165"/>
        <v>41861.958333333328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62"/>
        <v>0</v>
      </c>
      <c r="P1461">
        <f t="shared" si="163"/>
        <v>18500</v>
      </c>
      <c r="Q1461" t="str">
        <f t="shared" si="160"/>
        <v>publishing</v>
      </c>
      <c r="R1461" t="str">
        <f t="shared" si="161"/>
        <v>translations</v>
      </c>
      <c r="S1461" s="9">
        <f t="shared" si="164"/>
        <v>42311.996481481481</v>
      </c>
      <c r="T1461" s="9">
        <f t="shared" si="165"/>
        <v>42340.517361111109</v>
      </c>
    </row>
    <row r="1462" spans="1:20" ht="29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62"/>
        <v>0</v>
      </c>
      <c r="P1462">
        <f t="shared" si="163"/>
        <v>12500000</v>
      </c>
      <c r="Q1462" t="str">
        <f t="shared" si="160"/>
        <v>publishing</v>
      </c>
      <c r="R1462" t="str">
        <f t="shared" si="161"/>
        <v>translations</v>
      </c>
      <c r="S1462" s="9">
        <f t="shared" si="164"/>
        <v>41915.688634259255</v>
      </c>
      <c r="T1462" s="9">
        <f t="shared" si="165"/>
        <v>41973.781249999993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62"/>
        <v>1.012446</v>
      </c>
      <c r="P1463">
        <f t="shared" si="163"/>
        <v>15093.345000000001</v>
      </c>
      <c r="Q1463" t="str">
        <f>IF(N1463="publishing/radio &amp; podcasts","publishing")</f>
        <v>publishing</v>
      </c>
      <c r="R1463" t="str">
        <f>IF(N1463="publishing/radio &amp; podcasts","radio &amp; podcast")</f>
        <v>radio &amp; podcast</v>
      </c>
      <c r="S1463" s="9">
        <f t="shared" si="164"/>
        <v>41899.436967592592</v>
      </c>
      <c r="T1463" s="9">
        <f t="shared" si="165"/>
        <v>41932.791666666664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62"/>
        <v>1.085175</v>
      </c>
      <c r="P1464">
        <f t="shared" si="163"/>
        <v>4170.3500000000004</v>
      </c>
      <c r="Q1464" t="str">
        <f t="shared" ref="Q1464:Q1482" si="166">IF(N1464="publishing/radio &amp; podcasts","publishing")</f>
        <v>publishing</v>
      </c>
      <c r="R1464" t="str">
        <f t="shared" ref="R1464:R1482" si="167">IF(N1464="publishing/radio &amp; podcasts","radio &amp; podcast")</f>
        <v>radio &amp; podcast</v>
      </c>
      <c r="S1464" s="9">
        <f t="shared" si="164"/>
        <v>41344.454525462963</v>
      </c>
      <c r="T1464" s="9">
        <f t="shared" si="165"/>
        <v>41374.454525462963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62"/>
        <v>1.4766666666666666</v>
      </c>
      <c r="P1465">
        <f t="shared" si="163"/>
        <v>743</v>
      </c>
      <c r="Q1465" t="str">
        <f t="shared" si="166"/>
        <v>publishing</v>
      </c>
      <c r="R1465" t="str">
        <f t="shared" si="167"/>
        <v>radio &amp; podcast</v>
      </c>
      <c r="S1465" s="9">
        <f t="shared" si="164"/>
        <v>41326.702986111108</v>
      </c>
      <c r="T1465" s="9">
        <f t="shared" si="165"/>
        <v>41371.661319444444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62"/>
        <v>1.6319999999999999</v>
      </c>
      <c r="P1466">
        <f t="shared" si="163"/>
        <v>6580</v>
      </c>
      <c r="Q1466" t="str">
        <f t="shared" si="166"/>
        <v>publishing</v>
      </c>
      <c r="R1466" t="str">
        <f t="shared" si="167"/>
        <v>radio &amp; podcast</v>
      </c>
      <c r="S1466" s="9">
        <f t="shared" si="164"/>
        <v>41291.453217592592</v>
      </c>
      <c r="T1466" s="9">
        <f t="shared" si="165"/>
        <v>41321.453217592592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62"/>
        <v>4.5641449999999999</v>
      </c>
      <c r="P1467">
        <f t="shared" si="163"/>
        <v>83462.175000000003</v>
      </c>
      <c r="Q1467" t="str">
        <f t="shared" si="166"/>
        <v>publishing</v>
      </c>
      <c r="R1467" t="str">
        <f t="shared" si="167"/>
        <v>radio &amp; podcast</v>
      </c>
      <c r="S1467" s="9">
        <f t="shared" si="164"/>
        <v>40959.526064814811</v>
      </c>
      <c r="T1467" s="9">
        <f t="shared" si="165"/>
        <v>40989.916666666664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62"/>
        <v>1.0787731249999999</v>
      </c>
      <c r="P1468">
        <f t="shared" si="163"/>
        <v>16630.184999999998</v>
      </c>
      <c r="Q1468" t="str">
        <f t="shared" si="166"/>
        <v>publishing</v>
      </c>
      <c r="R1468" t="str">
        <f t="shared" si="167"/>
        <v>radio &amp; podcast</v>
      </c>
      <c r="S1468" s="9">
        <f t="shared" si="164"/>
        <v>42339.963726851849</v>
      </c>
      <c r="T1468" s="9">
        <f t="shared" si="165"/>
        <v>42380.999999999993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62"/>
        <v>1.1508</v>
      </c>
      <c r="P1469">
        <f t="shared" si="163"/>
        <v>43016</v>
      </c>
      <c r="Q1469" t="str">
        <f t="shared" si="166"/>
        <v>publishing</v>
      </c>
      <c r="R1469" t="str">
        <f t="shared" si="167"/>
        <v>radio &amp; podcast</v>
      </c>
      <c r="S1469" s="9">
        <f t="shared" si="164"/>
        <v>40933.593576388885</v>
      </c>
      <c r="T1469" s="9">
        <f t="shared" si="165"/>
        <v>40993.55190972222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62"/>
        <v>1.0236842105263158</v>
      </c>
      <c r="P1470">
        <f t="shared" si="163"/>
        <v>9612.5</v>
      </c>
      <c r="Q1470" t="str">
        <f t="shared" si="166"/>
        <v>publishing</v>
      </c>
      <c r="R1470" t="str">
        <f t="shared" si="167"/>
        <v>radio &amp; podcast</v>
      </c>
      <c r="S1470" s="9">
        <f t="shared" si="164"/>
        <v>40645.806122685179</v>
      </c>
      <c r="T1470" s="9">
        <f t="shared" si="165"/>
        <v>40705.806122685179</v>
      </c>
    </row>
    <row r="1471" spans="1:20" ht="29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62"/>
        <v>1.0842485875706214</v>
      </c>
      <c r="P1471">
        <f t="shared" si="163"/>
        <v>46114</v>
      </c>
      <c r="Q1471" t="str">
        <f t="shared" si="166"/>
        <v>publishing</v>
      </c>
      <c r="R1471" t="str">
        <f t="shared" si="167"/>
        <v>radio &amp; podcast</v>
      </c>
      <c r="S1471" s="9">
        <f t="shared" si="164"/>
        <v>41290.390150462961</v>
      </c>
      <c r="T1471" s="9">
        <f t="shared" si="165"/>
        <v>41320.390150462961</v>
      </c>
    </row>
    <row r="1472" spans="1:20" ht="43.5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62"/>
        <v>1.2513333333333334</v>
      </c>
      <c r="P1472">
        <f t="shared" si="163"/>
        <v>1688.5</v>
      </c>
      <c r="Q1472" t="str">
        <f t="shared" si="166"/>
        <v>publishing</v>
      </c>
      <c r="R1472" t="str">
        <f t="shared" si="167"/>
        <v>radio &amp; podcast</v>
      </c>
      <c r="S1472" s="9">
        <f t="shared" si="164"/>
        <v>41250.618784722217</v>
      </c>
      <c r="T1472" s="9">
        <f t="shared" si="165"/>
        <v>41271.618784722217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62"/>
        <v>1.03840625</v>
      </c>
      <c r="P1473">
        <f t="shared" si="163"/>
        <v>32614.5</v>
      </c>
      <c r="Q1473" t="str">
        <f t="shared" si="166"/>
        <v>publishing</v>
      </c>
      <c r="R1473" t="str">
        <f t="shared" si="167"/>
        <v>radio &amp; podcast</v>
      </c>
      <c r="S1473" s="9">
        <f t="shared" si="164"/>
        <v>42073.749236111107</v>
      </c>
      <c r="T1473" s="9">
        <f t="shared" si="165"/>
        <v>42103.749236111107</v>
      </c>
    </row>
    <row r="1474" spans="1:20" ht="43.5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62"/>
        <v>1.3870400000000001</v>
      </c>
      <c r="P1474">
        <f t="shared" si="163"/>
        <v>29838</v>
      </c>
      <c r="Q1474" t="str">
        <f t="shared" si="166"/>
        <v>publishing</v>
      </c>
      <c r="R1474" t="str">
        <f t="shared" si="167"/>
        <v>radio &amp; podcast</v>
      </c>
      <c r="S1474" s="9">
        <f t="shared" si="164"/>
        <v>41533.33452546296</v>
      </c>
      <c r="T1474" s="9">
        <f t="shared" si="165"/>
        <v>41563.33452546296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68">E1475/D1475</f>
        <v>1.20516</v>
      </c>
      <c r="P1475">
        <f t="shared" ref="P1475:P1538" si="169">AVERAGE(D1475:E1475)</f>
        <v>1653.87</v>
      </c>
      <c r="Q1475" t="str">
        <f t="shared" si="166"/>
        <v>publishing</v>
      </c>
      <c r="R1475" t="str">
        <f t="shared" si="167"/>
        <v>radio &amp; podcast</v>
      </c>
      <c r="S1475" s="9">
        <f t="shared" ref="S1475:S1538" si="170">J1475/86400+25569+(-5/24)</f>
        <v>40939.771284722221</v>
      </c>
      <c r="T1475" s="9">
        <f t="shared" si="165"/>
        <v>40969.771284722221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68"/>
        <v>1.1226666666666667</v>
      </c>
      <c r="P1476">
        <f t="shared" si="169"/>
        <v>3184</v>
      </c>
      <c r="Q1476" t="str">
        <f t="shared" si="166"/>
        <v>publishing</v>
      </c>
      <c r="R1476" t="str">
        <f t="shared" si="167"/>
        <v>radio &amp; podcast</v>
      </c>
      <c r="S1476" s="9">
        <f t="shared" si="170"/>
        <v>41500.519583333335</v>
      </c>
      <c r="T1476" s="9">
        <f t="shared" ref="T1476:T1539" si="171">I1476/86400+25569+(-5/24)</f>
        <v>41530.519583333335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68"/>
        <v>1.8866966666666667</v>
      </c>
      <c r="P1477">
        <f t="shared" si="169"/>
        <v>21650.224999999999</v>
      </c>
      <c r="Q1477" t="str">
        <f t="shared" si="166"/>
        <v>publishing</v>
      </c>
      <c r="R1477" t="str">
        <f t="shared" si="167"/>
        <v>radio &amp; podcast</v>
      </c>
      <c r="S1477" s="9">
        <f t="shared" si="170"/>
        <v>41960.514618055553</v>
      </c>
      <c r="T1477" s="9">
        <f t="shared" si="171"/>
        <v>41992.999305555553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68"/>
        <v>6.6155466666666669</v>
      </c>
      <c r="P1478">
        <f t="shared" si="169"/>
        <v>22846.639999999999</v>
      </c>
      <c r="Q1478" t="str">
        <f t="shared" si="166"/>
        <v>publishing</v>
      </c>
      <c r="R1478" t="str">
        <f t="shared" si="167"/>
        <v>radio &amp; podcast</v>
      </c>
      <c r="S1478" s="9">
        <f t="shared" si="170"/>
        <v>40765.833587962959</v>
      </c>
      <c r="T1478" s="9">
        <f t="shared" si="171"/>
        <v>40795.833587962959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68"/>
        <v>1.1131</v>
      </c>
      <c r="P1479">
        <f t="shared" si="169"/>
        <v>31696.5</v>
      </c>
      <c r="Q1479" t="str">
        <f t="shared" si="166"/>
        <v>publishing</v>
      </c>
      <c r="R1479" t="str">
        <f t="shared" si="167"/>
        <v>radio &amp; podcast</v>
      </c>
      <c r="S1479" s="9">
        <f t="shared" si="170"/>
        <v>40840.407453703701</v>
      </c>
      <c r="T1479" s="9">
        <f t="shared" si="171"/>
        <v>40899.916666666664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68"/>
        <v>11.8161422</v>
      </c>
      <c r="P1480">
        <f t="shared" si="169"/>
        <v>320403.55499999999</v>
      </c>
      <c r="Q1480" t="str">
        <f t="shared" si="166"/>
        <v>publishing</v>
      </c>
      <c r="R1480" t="str">
        <f t="shared" si="167"/>
        <v>radio &amp; podcast</v>
      </c>
      <c r="S1480" s="9">
        <f t="shared" si="170"/>
        <v>41394.663344907407</v>
      </c>
      <c r="T1480" s="9">
        <f t="shared" si="171"/>
        <v>41408.663344907407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68"/>
        <v>1.37375</v>
      </c>
      <c r="P1481">
        <f t="shared" si="169"/>
        <v>1899</v>
      </c>
      <c r="Q1481" t="str">
        <f t="shared" si="166"/>
        <v>publishing</v>
      </c>
      <c r="R1481" t="str">
        <f t="shared" si="167"/>
        <v>radio &amp; podcast</v>
      </c>
      <c r="S1481" s="9">
        <f t="shared" si="170"/>
        <v>41754.536909722221</v>
      </c>
      <c r="T1481" s="9">
        <f t="shared" si="171"/>
        <v>41768.957638888889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68"/>
        <v>1.170404</v>
      </c>
      <c r="P1482">
        <f t="shared" si="169"/>
        <v>54260.1</v>
      </c>
      <c r="Q1482" t="str">
        <f t="shared" si="166"/>
        <v>publishing</v>
      </c>
      <c r="R1482" t="str">
        <f t="shared" si="167"/>
        <v>radio &amp; podcast</v>
      </c>
      <c r="S1482" s="9">
        <f t="shared" si="170"/>
        <v>41464.725682870368</v>
      </c>
      <c r="T1482" s="9">
        <f t="shared" si="171"/>
        <v>41481.5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68"/>
        <v>2.1000000000000001E-2</v>
      </c>
      <c r="P1483">
        <f t="shared" si="169"/>
        <v>2552.5</v>
      </c>
      <c r="Q1483" t="str">
        <f>IF(N1483="publishing/fiction","publishing")</f>
        <v>publishing</v>
      </c>
      <c r="R1483" t="str">
        <f>IF(N1483="publishing/fiction","fiction")</f>
        <v>fiction</v>
      </c>
      <c r="S1483" s="9">
        <f t="shared" si="170"/>
        <v>41550.714641203704</v>
      </c>
      <c r="T1483" s="9">
        <f t="shared" si="171"/>
        <v>41580.714641203704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68"/>
        <v>1E-3</v>
      </c>
      <c r="P1484">
        <f t="shared" si="169"/>
        <v>2502.5</v>
      </c>
      <c r="Q1484" t="str">
        <f t="shared" ref="Q1484:Q1502" si="172">IF(N1484="publishing/fiction","publishing")</f>
        <v>publishing</v>
      </c>
      <c r="R1484" t="str">
        <f t="shared" ref="R1484:R1502" si="173">IF(N1484="publishing/fiction","fiction")</f>
        <v>fiction</v>
      </c>
      <c r="S1484" s="9">
        <f t="shared" si="170"/>
        <v>41136.649722222217</v>
      </c>
      <c r="T1484" s="9">
        <f t="shared" si="171"/>
        <v>41159.118750000001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68"/>
        <v>7.1428571428571426E-3</v>
      </c>
      <c r="P1485">
        <f t="shared" si="169"/>
        <v>3525</v>
      </c>
      <c r="Q1485" t="str">
        <f t="shared" si="172"/>
        <v>publishing</v>
      </c>
      <c r="R1485" t="str">
        <f t="shared" si="173"/>
        <v>fiction</v>
      </c>
      <c r="S1485" s="9">
        <f t="shared" si="170"/>
        <v>42547.984664351847</v>
      </c>
      <c r="T1485" s="9">
        <f t="shared" si="171"/>
        <v>42572.984664351847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68"/>
        <v>0</v>
      </c>
      <c r="P1486">
        <f t="shared" si="169"/>
        <v>1000</v>
      </c>
      <c r="Q1486" t="str">
        <f t="shared" si="172"/>
        <v>publishing</v>
      </c>
      <c r="R1486" t="str">
        <f t="shared" si="173"/>
        <v>fiction</v>
      </c>
      <c r="S1486" s="9">
        <f t="shared" si="170"/>
        <v>41052.992627314808</v>
      </c>
      <c r="T1486" s="9">
        <f t="shared" si="171"/>
        <v>41111.410416666666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68"/>
        <v>2.2388059701492536E-2</v>
      </c>
      <c r="P1487">
        <f t="shared" si="169"/>
        <v>3425</v>
      </c>
      <c r="Q1487" t="str">
        <f t="shared" si="172"/>
        <v>publishing</v>
      </c>
      <c r="R1487" t="str">
        <f t="shared" si="173"/>
        <v>fiction</v>
      </c>
      <c r="S1487" s="9">
        <f t="shared" si="170"/>
        <v>42130.587650462963</v>
      </c>
      <c r="T1487" s="9">
        <f t="shared" si="171"/>
        <v>42175.587650462963</v>
      </c>
    </row>
    <row r="1488" spans="1:20" ht="43.5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68"/>
        <v>2.3999999999999998E-3</v>
      </c>
      <c r="P1488">
        <f t="shared" si="169"/>
        <v>10024</v>
      </c>
      <c r="Q1488" t="str">
        <f t="shared" si="172"/>
        <v>publishing</v>
      </c>
      <c r="R1488" t="str">
        <f t="shared" si="173"/>
        <v>fiction</v>
      </c>
      <c r="S1488" s="9">
        <f t="shared" si="170"/>
        <v>42031.960196759253</v>
      </c>
      <c r="T1488" s="9">
        <f t="shared" si="171"/>
        <v>42061.960196759253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68"/>
        <v>0</v>
      </c>
      <c r="P1489">
        <f t="shared" si="169"/>
        <v>5000</v>
      </c>
      <c r="Q1489" t="str">
        <f t="shared" si="172"/>
        <v>publishing</v>
      </c>
      <c r="R1489" t="str">
        <f t="shared" si="173"/>
        <v>fiction</v>
      </c>
      <c r="S1489" s="9">
        <f t="shared" si="170"/>
        <v>42554.709155092591</v>
      </c>
      <c r="T1489" s="9">
        <f t="shared" si="171"/>
        <v>42584.709155092591</v>
      </c>
    </row>
    <row r="1490" spans="1:20" ht="29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68"/>
        <v>2.4E-2</v>
      </c>
      <c r="P1490">
        <f t="shared" si="169"/>
        <v>7680</v>
      </c>
      <c r="Q1490" t="str">
        <f t="shared" si="172"/>
        <v>publishing</v>
      </c>
      <c r="R1490" t="str">
        <f t="shared" si="173"/>
        <v>fiction</v>
      </c>
      <c r="S1490" s="9">
        <f t="shared" si="170"/>
        <v>41614.354861111111</v>
      </c>
      <c r="T1490" s="9">
        <f t="shared" si="171"/>
        <v>41644.354861111111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68"/>
        <v>0</v>
      </c>
      <c r="P1491">
        <f t="shared" si="169"/>
        <v>2500</v>
      </c>
      <c r="Q1491" t="str">
        <f t="shared" si="172"/>
        <v>publishing</v>
      </c>
      <c r="R1491" t="str">
        <f t="shared" si="173"/>
        <v>fiction</v>
      </c>
      <c r="S1491" s="9">
        <f t="shared" si="170"/>
        <v>41198.403379629628</v>
      </c>
      <c r="T1491" s="9">
        <f t="shared" si="171"/>
        <v>41228.445046296292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68"/>
        <v>0.30862068965517242</v>
      </c>
      <c r="P1492">
        <f t="shared" si="169"/>
        <v>1897.5</v>
      </c>
      <c r="Q1492" t="str">
        <f t="shared" si="172"/>
        <v>publishing</v>
      </c>
      <c r="R1492" t="str">
        <f t="shared" si="173"/>
        <v>fiction</v>
      </c>
      <c r="S1492" s="9">
        <f t="shared" si="170"/>
        <v>41520.352708333332</v>
      </c>
      <c r="T1492" s="9">
        <f t="shared" si="171"/>
        <v>41549.352708333332</v>
      </c>
    </row>
    <row r="1493" spans="1:20" ht="29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68"/>
        <v>8.3333333333333329E-2</v>
      </c>
      <c r="P1493">
        <f t="shared" si="169"/>
        <v>650</v>
      </c>
      <c r="Q1493" t="str">
        <f t="shared" si="172"/>
        <v>publishing</v>
      </c>
      <c r="R1493" t="str">
        <f t="shared" si="173"/>
        <v>fiction</v>
      </c>
      <c r="S1493" s="9">
        <f t="shared" si="170"/>
        <v>41991.505127314813</v>
      </c>
      <c r="T1493" s="9">
        <f t="shared" si="171"/>
        <v>42050.443055555552</v>
      </c>
    </row>
    <row r="1494" spans="1:20" ht="43.5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68"/>
        <v>7.4999999999999997E-3</v>
      </c>
      <c r="P1494">
        <f t="shared" si="169"/>
        <v>2015</v>
      </c>
      <c r="Q1494" t="str">
        <f t="shared" si="172"/>
        <v>publishing</v>
      </c>
      <c r="R1494" t="str">
        <f t="shared" si="173"/>
        <v>fiction</v>
      </c>
      <c r="S1494" s="9">
        <f t="shared" si="170"/>
        <v>40682.676458333335</v>
      </c>
      <c r="T1494" s="9">
        <f t="shared" si="171"/>
        <v>40712.676458333335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68"/>
        <v>0</v>
      </c>
      <c r="P1495">
        <f t="shared" si="169"/>
        <v>1200</v>
      </c>
      <c r="Q1495" t="str">
        <f t="shared" si="172"/>
        <v>publishing</v>
      </c>
      <c r="R1495" t="str">
        <f t="shared" si="173"/>
        <v>fiction</v>
      </c>
      <c r="S1495" s="9">
        <f t="shared" si="170"/>
        <v>41411.658275462956</v>
      </c>
      <c r="T1495" s="9">
        <f t="shared" si="171"/>
        <v>41441.658275462956</v>
      </c>
    </row>
    <row r="1496" spans="1:20" ht="43.5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68"/>
        <v>8.8999999999999996E-2</v>
      </c>
      <c r="P1496">
        <f t="shared" si="169"/>
        <v>2722.5</v>
      </c>
      <c r="Q1496" t="str">
        <f t="shared" si="172"/>
        <v>publishing</v>
      </c>
      <c r="R1496" t="str">
        <f t="shared" si="173"/>
        <v>fiction</v>
      </c>
      <c r="S1496" s="9">
        <f t="shared" si="170"/>
        <v>42067.514039351845</v>
      </c>
      <c r="T1496" s="9">
        <f t="shared" si="171"/>
        <v>42097.443055555552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68"/>
        <v>0</v>
      </c>
      <c r="P1497">
        <f t="shared" si="169"/>
        <v>1000</v>
      </c>
      <c r="Q1497" t="str">
        <f t="shared" si="172"/>
        <v>publishing</v>
      </c>
      <c r="R1497" t="str">
        <f t="shared" si="173"/>
        <v>fiction</v>
      </c>
      <c r="S1497" s="9">
        <f t="shared" si="170"/>
        <v>40752.581377314811</v>
      </c>
      <c r="T1497" s="9">
        <f t="shared" si="171"/>
        <v>40782.581377314811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68"/>
        <v>0</v>
      </c>
      <c r="P1498">
        <f t="shared" si="169"/>
        <v>750</v>
      </c>
      <c r="Q1498" t="str">
        <f t="shared" si="172"/>
        <v>publishing</v>
      </c>
      <c r="R1498" t="str">
        <f t="shared" si="173"/>
        <v>fiction</v>
      </c>
      <c r="S1498" s="9">
        <f t="shared" si="170"/>
        <v>41838.266886574071</v>
      </c>
      <c r="T1498" s="9">
        <f t="shared" si="171"/>
        <v>41898.266886574071</v>
      </c>
    </row>
    <row r="1499" spans="1:20" ht="43.5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68"/>
        <v>6.666666666666667E-5</v>
      </c>
      <c r="P1499">
        <f t="shared" si="169"/>
        <v>7500.5</v>
      </c>
      <c r="Q1499" t="str">
        <f t="shared" si="172"/>
        <v>publishing</v>
      </c>
      <c r="R1499" t="str">
        <f t="shared" si="173"/>
        <v>fiction</v>
      </c>
      <c r="S1499" s="9">
        <f t="shared" si="170"/>
        <v>41444.434282407405</v>
      </c>
      <c r="T1499" s="9">
        <f t="shared" si="171"/>
        <v>41486.613194444442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68"/>
        <v>1.9E-2</v>
      </c>
      <c r="P1500">
        <f t="shared" si="169"/>
        <v>1528.5</v>
      </c>
      <c r="Q1500" t="str">
        <f t="shared" si="172"/>
        <v>publishing</v>
      </c>
      <c r="R1500" t="str">
        <f t="shared" si="173"/>
        <v>fiction</v>
      </c>
      <c r="S1500" s="9">
        <f t="shared" si="170"/>
        <v>41840.775208333333</v>
      </c>
      <c r="T1500" s="9">
        <f t="shared" si="171"/>
        <v>41885.775208333333</v>
      </c>
    </row>
    <row r="1501" spans="1:20" ht="43.5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68"/>
        <v>2.5000000000000001E-3</v>
      </c>
      <c r="P1501">
        <f t="shared" si="169"/>
        <v>1002.5</v>
      </c>
      <c r="Q1501" t="str">
        <f t="shared" si="172"/>
        <v>publishing</v>
      </c>
      <c r="R1501" t="str">
        <f t="shared" si="173"/>
        <v>fiction</v>
      </c>
      <c r="S1501" s="9">
        <f t="shared" si="170"/>
        <v>42526.798993055556</v>
      </c>
      <c r="T1501" s="9">
        <f t="shared" si="171"/>
        <v>42586.798993055556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68"/>
        <v>0.25035714285714283</v>
      </c>
      <c r="P1502">
        <f t="shared" si="169"/>
        <v>1750.5</v>
      </c>
      <c r="Q1502" t="str">
        <f t="shared" si="172"/>
        <v>publishing</v>
      </c>
      <c r="R1502" t="str">
        <f t="shared" si="173"/>
        <v>fiction</v>
      </c>
      <c r="S1502" s="9">
        <f t="shared" si="170"/>
        <v>41365.69626157407</v>
      </c>
      <c r="T1502" s="9">
        <f t="shared" si="171"/>
        <v>41395.69626157407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68"/>
        <v>1.6633076923076924</v>
      </c>
      <c r="P1503">
        <f t="shared" si="169"/>
        <v>69246</v>
      </c>
      <c r="Q1503" t="str">
        <f>IF(N1503="photography/photobooks","photography")</f>
        <v>photography</v>
      </c>
      <c r="R1503" t="str">
        <f>IF(N1503="photography/photobooks","photobooks")</f>
        <v>photobooks</v>
      </c>
      <c r="S1503" s="9">
        <f t="shared" si="170"/>
        <v>42163.3752662037</v>
      </c>
      <c r="T1503" s="9">
        <f t="shared" si="171"/>
        <v>42193.3752662037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68"/>
        <v>1.0144545454545455</v>
      </c>
      <c r="P1504">
        <f t="shared" si="169"/>
        <v>22159</v>
      </c>
      <c r="Q1504" t="str">
        <f t="shared" ref="Q1504:Q1542" si="174">IF(N1504="photography/photobooks","photography")</f>
        <v>photography</v>
      </c>
      <c r="R1504" t="str">
        <f t="shared" ref="R1504:R1542" si="175">IF(N1504="photography/photobooks","photobooks")</f>
        <v>photobooks</v>
      </c>
      <c r="S1504" s="9">
        <f t="shared" si="170"/>
        <v>42426.33425925926</v>
      </c>
      <c r="T1504" s="9">
        <f t="shared" si="171"/>
        <v>42454.708333333336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68"/>
        <v>1.0789146666666667</v>
      </c>
      <c r="P1505">
        <f t="shared" si="169"/>
        <v>3897.9650000000001</v>
      </c>
      <c r="Q1505" t="str">
        <f t="shared" si="174"/>
        <v>photography</v>
      </c>
      <c r="R1505" t="str">
        <f t="shared" si="175"/>
        <v>photobooks</v>
      </c>
      <c r="S1505" s="9">
        <f t="shared" si="170"/>
        <v>42606.13890046296</v>
      </c>
      <c r="T1505" s="9">
        <f t="shared" si="171"/>
        <v>42666.13890046296</v>
      </c>
    </row>
    <row r="1506" spans="1:20" ht="29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68"/>
        <v>2.7793846153846156</v>
      </c>
      <c r="P1506">
        <f t="shared" si="169"/>
        <v>12283</v>
      </c>
      <c r="Q1506" t="str">
        <f t="shared" si="174"/>
        <v>photography</v>
      </c>
      <c r="R1506" t="str">
        <f t="shared" si="175"/>
        <v>photobooks</v>
      </c>
      <c r="S1506" s="9">
        <f t="shared" si="170"/>
        <v>41772.44935185185</v>
      </c>
      <c r="T1506" s="9">
        <f t="shared" si="171"/>
        <v>41800.147916666661</v>
      </c>
    </row>
    <row r="1507" spans="1:20" ht="43.5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68"/>
        <v>1.0358125</v>
      </c>
      <c r="P1507">
        <f t="shared" si="169"/>
        <v>16286.5</v>
      </c>
      <c r="Q1507" t="str">
        <f t="shared" si="174"/>
        <v>photography</v>
      </c>
      <c r="R1507" t="str">
        <f t="shared" si="175"/>
        <v>photobooks</v>
      </c>
      <c r="S1507" s="9">
        <f t="shared" si="170"/>
        <v>42414.234988425924</v>
      </c>
      <c r="T1507" s="9">
        <f t="shared" si="171"/>
        <v>42451.625694444439</v>
      </c>
    </row>
    <row r="1508" spans="1:20" ht="29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68"/>
        <v>1.1140000000000001</v>
      </c>
      <c r="P1508">
        <f t="shared" si="169"/>
        <v>1585.5</v>
      </c>
      <c r="Q1508" t="str">
        <f t="shared" si="174"/>
        <v>photography</v>
      </c>
      <c r="R1508" t="str">
        <f t="shared" si="175"/>
        <v>photobooks</v>
      </c>
      <c r="S1508" s="9">
        <f t="shared" si="170"/>
        <v>41814.577592592592</v>
      </c>
      <c r="T1508" s="9">
        <f t="shared" si="171"/>
        <v>41844.577592592592</v>
      </c>
    </row>
    <row r="1509" spans="1:20" ht="43.5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68"/>
        <v>2.15</v>
      </c>
      <c r="P1509">
        <f t="shared" si="169"/>
        <v>1890</v>
      </c>
      <c r="Q1509" t="str">
        <f t="shared" si="174"/>
        <v>photography</v>
      </c>
      <c r="R1509" t="str">
        <f t="shared" si="175"/>
        <v>photobooks</v>
      </c>
      <c r="S1509" s="9">
        <f t="shared" si="170"/>
        <v>40254.242002314808</v>
      </c>
      <c r="T1509" s="9">
        <f t="shared" si="171"/>
        <v>40313.131944444445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68"/>
        <v>1.1076216216216217</v>
      </c>
      <c r="P1510">
        <f t="shared" si="169"/>
        <v>19495.5</v>
      </c>
      <c r="Q1510" t="str">
        <f t="shared" si="174"/>
        <v>photography</v>
      </c>
      <c r="R1510" t="str">
        <f t="shared" si="175"/>
        <v>photobooks</v>
      </c>
      <c r="S1510" s="9">
        <f t="shared" si="170"/>
        <v>41786.406030092592</v>
      </c>
      <c r="T1510" s="9">
        <f t="shared" si="171"/>
        <v>41817.406030092592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68"/>
        <v>1.2364125714285714</v>
      </c>
      <c r="P1511">
        <f t="shared" si="169"/>
        <v>19568.61</v>
      </c>
      <c r="Q1511" t="str">
        <f t="shared" si="174"/>
        <v>photography</v>
      </c>
      <c r="R1511" t="str">
        <f t="shared" si="175"/>
        <v>photobooks</v>
      </c>
      <c r="S1511" s="9">
        <f t="shared" si="170"/>
        <v>42751.325057870366</v>
      </c>
      <c r="T1511" s="9">
        <f t="shared" si="171"/>
        <v>42780.749305555553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68"/>
        <v>1.0103500000000001</v>
      </c>
      <c r="P1512">
        <f t="shared" si="169"/>
        <v>16082.8</v>
      </c>
      <c r="Q1512" t="str">
        <f t="shared" si="174"/>
        <v>photography</v>
      </c>
      <c r="R1512" t="str">
        <f t="shared" si="175"/>
        <v>photobooks</v>
      </c>
      <c r="S1512" s="9">
        <f t="shared" si="170"/>
        <v>41809.176828703705</v>
      </c>
      <c r="T1512" s="9">
        <f t="shared" si="171"/>
        <v>41839.176828703705</v>
      </c>
    </row>
    <row r="1513" spans="1:20" ht="43.5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68"/>
        <v>1.1179285714285714</v>
      </c>
      <c r="P1513">
        <f t="shared" si="169"/>
        <v>14825.5</v>
      </c>
      <c r="Q1513" t="str">
        <f t="shared" si="174"/>
        <v>photography</v>
      </c>
      <c r="R1513" t="str">
        <f t="shared" si="175"/>
        <v>photobooks</v>
      </c>
      <c r="S1513" s="9">
        <f t="shared" si="170"/>
        <v>42296.375046296293</v>
      </c>
      <c r="T1513" s="9">
        <f t="shared" si="171"/>
        <v>42326.416712962957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68"/>
        <v>5.5877142857142861</v>
      </c>
      <c r="P1514">
        <f t="shared" si="169"/>
        <v>11528.5</v>
      </c>
      <c r="Q1514" t="str">
        <f t="shared" si="174"/>
        <v>photography</v>
      </c>
      <c r="R1514" t="str">
        <f t="shared" si="175"/>
        <v>photobooks</v>
      </c>
      <c r="S1514" s="9">
        <f t="shared" si="170"/>
        <v>42741.476145833331</v>
      </c>
      <c r="T1514" s="9">
        <f t="shared" si="171"/>
        <v>42771.476145833331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68"/>
        <v>1.5001875</v>
      </c>
      <c r="P1515">
        <f t="shared" si="169"/>
        <v>10000.75</v>
      </c>
      <c r="Q1515" t="str">
        <f t="shared" si="174"/>
        <v>photography</v>
      </c>
      <c r="R1515" t="str">
        <f t="shared" si="175"/>
        <v>photobooks</v>
      </c>
      <c r="S1515" s="9">
        <f t="shared" si="170"/>
        <v>41806.42900462963</v>
      </c>
      <c r="T1515" s="9">
        <f t="shared" si="171"/>
        <v>41836.42900462963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68"/>
        <v>1.0647599999999999</v>
      </c>
      <c r="P1516">
        <f t="shared" si="169"/>
        <v>25809.5</v>
      </c>
      <c r="Q1516" t="str">
        <f t="shared" si="174"/>
        <v>photography</v>
      </c>
      <c r="R1516" t="str">
        <f t="shared" si="175"/>
        <v>photobooks</v>
      </c>
      <c r="S1516" s="9">
        <f t="shared" si="170"/>
        <v>42234.389351851853</v>
      </c>
      <c r="T1516" s="9">
        <f t="shared" si="171"/>
        <v>42274.389351851853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68"/>
        <v>1.57189</v>
      </c>
      <c r="P1517">
        <f t="shared" si="169"/>
        <v>385783.5</v>
      </c>
      <c r="Q1517" t="str">
        <f t="shared" si="174"/>
        <v>photography</v>
      </c>
      <c r="R1517" t="str">
        <f t="shared" si="175"/>
        <v>photobooks</v>
      </c>
      <c r="S1517" s="9">
        <f t="shared" si="170"/>
        <v>42415.04510416666</v>
      </c>
      <c r="T1517" s="9">
        <f t="shared" si="171"/>
        <v>42445.003437499996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68"/>
        <v>1.0865882352941176</v>
      </c>
      <c r="P1518">
        <f t="shared" si="169"/>
        <v>17736</v>
      </c>
      <c r="Q1518" t="str">
        <f t="shared" si="174"/>
        <v>photography</v>
      </c>
      <c r="R1518" t="str">
        <f t="shared" si="175"/>
        <v>photobooks</v>
      </c>
      <c r="S1518" s="9">
        <f t="shared" si="170"/>
        <v>42619.258009259262</v>
      </c>
      <c r="T1518" s="9">
        <f t="shared" si="171"/>
        <v>42649.374999999993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68"/>
        <v>1.6197999999999999</v>
      </c>
      <c r="P1519">
        <f t="shared" si="169"/>
        <v>19648.5</v>
      </c>
      <c r="Q1519" t="str">
        <f t="shared" si="174"/>
        <v>photography</v>
      </c>
      <c r="R1519" t="str">
        <f t="shared" si="175"/>
        <v>photobooks</v>
      </c>
      <c r="S1519" s="9">
        <f t="shared" si="170"/>
        <v>41948.358252314814</v>
      </c>
      <c r="T1519" s="9">
        <f t="shared" si="171"/>
        <v>41979.041666666664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68"/>
        <v>2.0536666666666665</v>
      </c>
      <c r="P1520">
        <f t="shared" si="169"/>
        <v>22902.5</v>
      </c>
      <c r="Q1520" t="str">
        <f t="shared" si="174"/>
        <v>photography</v>
      </c>
      <c r="R1520" t="str">
        <f t="shared" si="175"/>
        <v>photobooks</v>
      </c>
      <c r="S1520" s="9">
        <f t="shared" si="170"/>
        <v>41760.611712962964</v>
      </c>
      <c r="T1520" s="9">
        <f t="shared" si="171"/>
        <v>41790.611712962964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68"/>
        <v>1.033638888888889</v>
      </c>
      <c r="P1521">
        <f t="shared" si="169"/>
        <v>9151.375</v>
      </c>
      <c r="Q1521" t="str">
        <f t="shared" si="174"/>
        <v>photography</v>
      </c>
      <c r="R1521" t="str">
        <f t="shared" si="175"/>
        <v>photobooks</v>
      </c>
      <c r="S1521" s="9">
        <f t="shared" si="170"/>
        <v>41782.533368055556</v>
      </c>
      <c r="T1521" s="9">
        <f t="shared" si="171"/>
        <v>41810.707638888889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68"/>
        <v>1.0347222222222223</v>
      </c>
      <c r="P1522">
        <f t="shared" si="169"/>
        <v>18312.5</v>
      </c>
      <c r="Q1522" t="str">
        <f t="shared" si="174"/>
        <v>photography</v>
      </c>
      <c r="R1522" t="str">
        <f t="shared" si="175"/>
        <v>photobooks</v>
      </c>
      <c r="S1522" s="9">
        <f t="shared" si="170"/>
        <v>41955.649456018517</v>
      </c>
      <c r="T1522" s="9">
        <f t="shared" si="171"/>
        <v>41991.958333333336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68"/>
        <v>1.0681333333333334</v>
      </c>
      <c r="P1523">
        <f t="shared" si="169"/>
        <v>38777.5</v>
      </c>
      <c r="Q1523" t="str">
        <f t="shared" si="174"/>
        <v>photography</v>
      </c>
      <c r="R1523" t="str">
        <f t="shared" si="175"/>
        <v>photobooks</v>
      </c>
      <c r="S1523" s="9">
        <f t="shared" si="170"/>
        <v>42492.959386574068</v>
      </c>
      <c r="T1523" s="9">
        <f t="shared" si="171"/>
        <v>42527.959386574068</v>
      </c>
    </row>
    <row r="1524" spans="1:20" ht="43.5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68"/>
        <v>1.3896574712643677</v>
      </c>
      <c r="P1524">
        <f t="shared" si="169"/>
        <v>51975.05</v>
      </c>
      <c r="Q1524" t="str">
        <f t="shared" si="174"/>
        <v>photography</v>
      </c>
      <c r="R1524" t="str">
        <f t="shared" si="175"/>
        <v>photobooks</v>
      </c>
      <c r="S1524" s="9">
        <f t="shared" si="170"/>
        <v>41899.621979166666</v>
      </c>
      <c r="T1524" s="9">
        <f t="shared" si="171"/>
        <v>41929.621979166666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68"/>
        <v>1.2484324324324325</v>
      </c>
      <c r="P1525">
        <f t="shared" si="169"/>
        <v>20798</v>
      </c>
      <c r="Q1525" t="str">
        <f t="shared" si="174"/>
        <v>photography</v>
      </c>
      <c r="R1525" t="str">
        <f t="shared" si="175"/>
        <v>photobooks</v>
      </c>
      <c r="S1525" s="9">
        <f t="shared" si="170"/>
        <v>41964.543009259258</v>
      </c>
      <c r="T1525" s="9">
        <f t="shared" si="171"/>
        <v>41995.791666666664</v>
      </c>
    </row>
    <row r="1526" spans="1:20" ht="29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68"/>
        <v>2.0699999999999998</v>
      </c>
      <c r="P1526">
        <f t="shared" si="169"/>
        <v>4605</v>
      </c>
      <c r="Q1526" t="str">
        <f t="shared" si="174"/>
        <v>photography</v>
      </c>
      <c r="R1526" t="str">
        <f t="shared" si="175"/>
        <v>photobooks</v>
      </c>
      <c r="S1526" s="9">
        <f t="shared" si="170"/>
        <v>42756.292708333327</v>
      </c>
      <c r="T1526" s="9">
        <f t="shared" si="171"/>
        <v>42786.292708333327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68"/>
        <v>1.7400576923076922</v>
      </c>
      <c r="P1527">
        <f t="shared" si="169"/>
        <v>3562.0749999999998</v>
      </c>
      <c r="Q1527" t="str">
        <f t="shared" si="174"/>
        <v>photography</v>
      </c>
      <c r="R1527" t="str">
        <f t="shared" si="175"/>
        <v>photobooks</v>
      </c>
      <c r="S1527" s="9">
        <f t="shared" si="170"/>
        <v>42570.494652777772</v>
      </c>
      <c r="T1527" s="9">
        <f t="shared" si="171"/>
        <v>42600.494652777772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68"/>
        <v>1.2032608695652174</v>
      </c>
      <c r="P1528">
        <f t="shared" si="169"/>
        <v>25337.5</v>
      </c>
      <c r="Q1528" t="str">
        <f t="shared" si="174"/>
        <v>photography</v>
      </c>
      <c r="R1528" t="str">
        <f t="shared" si="175"/>
        <v>photobooks</v>
      </c>
      <c r="S1528" s="9">
        <f t="shared" si="170"/>
        <v>42339.067673611113</v>
      </c>
      <c r="T1528" s="9">
        <f t="shared" si="171"/>
        <v>42388.067673611113</v>
      </c>
    </row>
    <row r="1529" spans="1:20" ht="29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68"/>
        <v>1.1044428571428573</v>
      </c>
      <c r="P1529">
        <f t="shared" si="169"/>
        <v>3682.7750000000001</v>
      </c>
      <c r="Q1529" t="str">
        <f t="shared" si="174"/>
        <v>photography</v>
      </c>
      <c r="R1529" t="str">
        <f t="shared" si="175"/>
        <v>photobooks</v>
      </c>
      <c r="S1529" s="9">
        <f t="shared" si="170"/>
        <v>42780.392199074071</v>
      </c>
      <c r="T1529" s="9">
        <f t="shared" si="171"/>
        <v>42808.350532407407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68"/>
        <v>2.8156666666666665</v>
      </c>
      <c r="P1530">
        <f t="shared" si="169"/>
        <v>5723.5</v>
      </c>
      <c r="Q1530" t="str">
        <f t="shared" si="174"/>
        <v>photography</v>
      </c>
      <c r="R1530" t="str">
        <f t="shared" si="175"/>
        <v>photobooks</v>
      </c>
      <c r="S1530" s="9">
        <f t="shared" si="170"/>
        <v>42736.524560185186</v>
      </c>
      <c r="T1530" s="9">
        <f t="shared" si="171"/>
        <v>42766.791666666664</v>
      </c>
    </row>
    <row r="1531" spans="1:20" ht="29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68"/>
        <v>1.0067894736842105</v>
      </c>
      <c r="P1531">
        <f t="shared" si="169"/>
        <v>19064.5</v>
      </c>
      <c r="Q1531" t="str">
        <f t="shared" si="174"/>
        <v>photography</v>
      </c>
      <c r="R1531" t="str">
        <f t="shared" si="175"/>
        <v>photobooks</v>
      </c>
      <c r="S1531" s="9">
        <f t="shared" si="170"/>
        <v>42052.420370370368</v>
      </c>
      <c r="T1531" s="9">
        <f t="shared" si="171"/>
        <v>42082.378703703704</v>
      </c>
    </row>
    <row r="1532" spans="1:20" ht="43.5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68"/>
        <v>1.3482571428571428</v>
      </c>
      <c r="P1532">
        <f t="shared" si="169"/>
        <v>41094.5</v>
      </c>
      <c r="Q1532" t="str">
        <f t="shared" si="174"/>
        <v>photography</v>
      </c>
      <c r="R1532" t="str">
        <f t="shared" si="175"/>
        <v>photobooks</v>
      </c>
      <c r="S1532" s="9">
        <f t="shared" si="170"/>
        <v>42275.558969907404</v>
      </c>
      <c r="T1532" s="9">
        <f t="shared" si="171"/>
        <v>42300.558969907404</v>
      </c>
    </row>
    <row r="1533" spans="1:20" ht="43.5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68"/>
        <v>1.7595744680851064</v>
      </c>
      <c r="P1533">
        <f t="shared" si="169"/>
        <v>3242.5</v>
      </c>
      <c r="Q1533" t="str">
        <f t="shared" si="174"/>
        <v>photography</v>
      </c>
      <c r="R1533" t="str">
        <f t="shared" si="175"/>
        <v>photobooks</v>
      </c>
      <c r="S1533" s="9">
        <f t="shared" si="170"/>
        <v>41941.594050925924</v>
      </c>
      <c r="T1533" s="9">
        <f t="shared" si="171"/>
        <v>41973.916666666664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68"/>
        <v>4.8402000000000003</v>
      </c>
      <c r="P1534">
        <f t="shared" si="169"/>
        <v>14600.5</v>
      </c>
      <c r="Q1534" t="str">
        <f t="shared" si="174"/>
        <v>photography</v>
      </c>
      <c r="R1534" t="str">
        <f t="shared" si="175"/>
        <v>photobooks</v>
      </c>
      <c r="S1534" s="9">
        <f t="shared" si="170"/>
        <v>42391.266956018517</v>
      </c>
      <c r="T1534" s="9">
        <f t="shared" si="171"/>
        <v>42415.416666666664</v>
      </c>
    </row>
    <row r="1535" spans="1:20" ht="29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68"/>
        <v>1.4514</v>
      </c>
      <c r="P1535">
        <f t="shared" si="169"/>
        <v>55156.5</v>
      </c>
      <c r="Q1535" t="str">
        <f t="shared" si="174"/>
        <v>photography</v>
      </c>
      <c r="R1535" t="str">
        <f t="shared" si="175"/>
        <v>photobooks</v>
      </c>
      <c r="S1535" s="9">
        <f t="shared" si="170"/>
        <v>42442.793715277774</v>
      </c>
      <c r="T1535" s="9">
        <f t="shared" si="171"/>
        <v>42491.957638888889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68"/>
        <v>4.1773333333333333</v>
      </c>
      <c r="P1536">
        <f t="shared" si="169"/>
        <v>19415</v>
      </c>
      <c r="Q1536" t="str">
        <f t="shared" si="174"/>
        <v>photography</v>
      </c>
      <c r="R1536" t="str">
        <f t="shared" si="175"/>
        <v>photobooks</v>
      </c>
      <c r="S1536" s="9">
        <f t="shared" si="170"/>
        <v>42221.465995370367</v>
      </c>
      <c r="T1536" s="9">
        <f t="shared" si="171"/>
        <v>42251.465995370367</v>
      </c>
    </row>
    <row r="1537" spans="1:20" ht="43.5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68"/>
        <v>1.3242499999999999</v>
      </c>
      <c r="P1537">
        <f t="shared" si="169"/>
        <v>4648.5</v>
      </c>
      <c r="Q1537" t="str">
        <f t="shared" si="174"/>
        <v>photography</v>
      </c>
      <c r="R1537" t="str">
        <f t="shared" si="175"/>
        <v>photobooks</v>
      </c>
      <c r="S1537" s="9">
        <f t="shared" si="170"/>
        <v>42484.620729166665</v>
      </c>
      <c r="T1537" s="9">
        <f t="shared" si="171"/>
        <v>42513.708333333336</v>
      </c>
    </row>
    <row r="1538" spans="1:20" ht="43.5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68"/>
        <v>2.5030841666666666</v>
      </c>
      <c r="P1538">
        <f t="shared" si="169"/>
        <v>21018.504999999997</v>
      </c>
      <c r="Q1538" t="str">
        <f t="shared" si="174"/>
        <v>photography</v>
      </c>
      <c r="R1538" t="str">
        <f t="shared" si="175"/>
        <v>photobooks</v>
      </c>
      <c r="S1538" s="9">
        <f t="shared" si="170"/>
        <v>42213.593865740739</v>
      </c>
      <c r="T1538" s="9">
        <f t="shared" si="171"/>
        <v>42243.593865740739</v>
      </c>
    </row>
    <row r="1539" spans="1:20" ht="29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76">E1539/D1539</f>
        <v>1.7989999999999999</v>
      </c>
      <c r="P1539">
        <f t="shared" ref="P1539:P1602" si="177">AVERAGE(D1539:E1539)</f>
        <v>16794</v>
      </c>
      <c r="Q1539" t="str">
        <f t="shared" si="174"/>
        <v>photography</v>
      </c>
      <c r="R1539" t="str">
        <f t="shared" si="175"/>
        <v>photobooks</v>
      </c>
      <c r="S1539" s="9">
        <f t="shared" ref="S1539:S1602" si="178">J1539/86400+25569+(-5/24)</f>
        <v>42552.106793981475</v>
      </c>
      <c r="T1539" s="9">
        <f t="shared" si="171"/>
        <v>42588.541666666664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76"/>
        <v>1.0262857142857142</v>
      </c>
      <c r="P1540">
        <f t="shared" si="177"/>
        <v>7092</v>
      </c>
      <c r="Q1540" t="str">
        <f t="shared" si="174"/>
        <v>photography</v>
      </c>
      <c r="R1540" t="str">
        <f t="shared" si="175"/>
        <v>photobooks</v>
      </c>
      <c r="S1540" s="9">
        <f t="shared" si="178"/>
        <v>41981.57372685185</v>
      </c>
      <c r="T1540" s="9">
        <f t="shared" ref="T1540:T1603" si="179">I1540/86400+25569+(-5/24)</f>
        <v>42026.57372685185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76"/>
        <v>1.359861</v>
      </c>
      <c r="P1541">
        <f t="shared" si="177"/>
        <v>23598.61</v>
      </c>
      <c r="Q1541" t="str">
        <f t="shared" si="174"/>
        <v>photography</v>
      </c>
      <c r="R1541" t="str">
        <f t="shared" si="175"/>
        <v>photobooks</v>
      </c>
      <c r="S1541" s="9">
        <f t="shared" si="178"/>
        <v>42705.710868055554</v>
      </c>
      <c r="T1541" s="9">
        <f t="shared" si="179"/>
        <v>42738.710868055554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76"/>
        <v>1.1786666666666668</v>
      </c>
      <c r="P1542">
        <f t="shared" si="177"/>
        <v>16340</v>
      </c>
      <c r="Q1542" t="str">
        <f t="shared" si="174"/>
        <v>photography</v>
      </c>
      <c r="R1542" t="str">
        <f t="shared" si="175"/>
        <v>photobooks</v>
      </c>
      <c r="S1542" s="9">
        <f t="shared" si="178"/>
        <v>41938.798796296294</v>
      </c>
      <c r="T1542" s="9">
        <f t="shared" si="179"/>
        <v>41968.843749999993</v>
      </c>
    </row>
    <row r="1543" spans="1:20" ht="29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76"/>
        <v>3.3333333333333332E-4</v>
      </c>
      <c r="P1543">
        <f t="shared" si="177"/>
        <v>9003</v>
      </c>
      <c r="Q1543" t="str">
        <f>IF(N1543="photography/nature","photography")</f>
        <v>photography</v>
      </c>
      <c r="R1543" t="str">
        <f>IF(N1543="photography/nature","nature")</f>
        <v>nature</v>
      </c>
      <c r="S1543" s="9">
        <f t="shared" si="178"/>
        <v>41974.503912037035</v>
      </c>
      <c r="T1543" s="9">
        <f t="shared" si="179"/>
        <v>42004.503912037035</v>
      </c>
    </row>
    <row r="1544" spans="1:20" ht="43.5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76"/>
        <v>0.04</v>
      </c>
      <c r="P1544">
        <f t="shared" si="177"/>
        <v>260</v>
      </c>
      <c r="Q1544" t="str">
        <f t="shared" ref="Q1544:Q1562" si="180">IF(N1544="photography/nature","photography")</f>
        <v>photography</v>
      </c>
      <c r="R1544" t="str">
        <f t="shared" ref="R1544:R1562" si="181">IF(N1544="photography/nature","nature")</f>
        <v>nature</v>
      </c>
      <c r="S1544" s="9">
        <f t="shared" si="178"/>
        <v>42170.788194444445</v>
      </c>
      <c r="T1544" s="9">
        <f t="shared" si="179"/>
        <v>42185.788194444445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76"/>
        <v>4.4444444444444444E-3</v>
      </c>
      <c r="P1545">
        <f t="shared" si="177"/>
        <v>1130</v>
      </c>
      <c r="Q1545" t="str">
        <f t="shared" si="180"/>
        <v>photography</v>
      </c>
      <c r="R1545" t="str">
        <f t="shared" si="181"/>
        <v>nature</v>
      </c>
      <c r="S1545" s="9">
        <f t="shared" si="178"/>
        <v>41935.301319444443</v>
      </c>
      <c r="T1545" s="9">
        <f t="shared" si="179"/>
        <v>41965.342986111107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76"/>
        <v>0</v>
      </c>
      <c r="P1546">
        <f t="shared" si="177"/>
        <v>500</v>
      </c>
      <c r="Q1546" t="str">
        <f t="shared" si="180"/>
        <v>photography</v>
      </c>
      <c r="R1546" t="str">
        <f t="shared" si="181"/>
        <v>nature</v>
      </c>
      <c r="S1546" s="9">
        <f t="shared" si="178"/>
        <v>42052.842870370368</v>
      </c>
      <c r="T1546" s="9">
        <f t="shared" si="179"/>
        <v>42094.804166666661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76"/>
        <v>3.3333333333333332E-4</v>
      </c>
      <c r="P1547">
        <f t="shared" si="177"/>
        <v>1500.5</v>
      </c>
      <c r="Q1547" t="str">
        <f t="shared" si="180"/>
        <v>photography</v>
      </c>
      <c r="R1547" t="str">
        <f t="shared" si="181"/>
        <v>nature</v>
      </c>
      <c r="S1547" s="9">
        <f t="shared" si="178"/>
        <v>42031.676319444443</v>
      </c>
      <c r="T1547" s="9">
        <f t="shared" si="179"/>
        <v>42065.677777777775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76"/>
        <v>0.28899999999999998</v>
      </c>
      <c r="P1548">
        <f t="shared" si="177"/>
        <v>644.5</v>
      </c>
      <c r="Q1548" t="str">
        <f t="shared" si="180"/>
        <v>photography</v>
      </c>
      <c r="R1548" t="str">
        <f t="shared" si="181"/>
        <v>nature</v>
      </c>
      <c r="S1548" s="9">
        <f t="shared" si="178"/>
        <v>41839.004618055551</v>
      </c>
      <c r="T1548" s="9">
        <f t="shared" si="179"/>
        <v>41899.004618055551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76"/>
        <v>0</v>
      </c>
      <c r="P1549">
        <f t="shared" si="177"/>
        <v>10</v>
      </c>
      <c r="Q1549" t="str">
        <f t="shared" si="180"/>
        <v>photography</v>
      </c>
      <c r="R1549" t="str">
        <f t="shared" si="181"/>
        <v>nature</v>
      </c>
      <c r="S1549" s="9">
        <f t="shared" si="178"/>
        <v>42782.218541666669</v>
      </c>
      <c r="T1549" s="9">
        <f t="shared" si="179"/>
        <v>42789.218541666669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76"/>
        <v>8.5714285714285715E-2</v>
      </c>
      <c r="P1550">
        <f t="shared" si="177"/>
        <v>380</v>
      </c>
      <c r="Q1550" t="str">
        <f t="shared" si="180"/>
        <v>photography</v>
      </c>
      <c r="R1550" t="str">
        <f t="shared" si="181"/>
        <v>nature</v>
      </c>
      <c r="S1550" s="9">
        <f t="shared" si="178"/>
        <v>42286.673842592594</v>
      </c>
      <c r="T1550" s="9">
        <f t="shared" si="179"/>
        <v>42316.715509259258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76"/>
        <v>0.34</v>
      </c>
      <c r="P1551">
        <f t="shared" si="177"/>
        <v>335</v>
      </c>
      <c r="Q1551" t="str">
        <f t="shared" si="180"/>
        <v>photography</v>
      </c>
      <c r="R1551" t="str">
        <f t="shared" si="181"/>
        <v>nature</v>
      </c>
      <c r="S1551" s="9">
        <f t="shared" si="178"/>
        <v>42280.927766203698</v>
      </c>
      <c r="T1551" s="9">
        <f t="shared" si="179"/>
        <v>42310.96943287037</v>
      </c>
    </row>
    <row r="1552" spans="1:20" ht="43.5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76"/>
        <v>0.13466666666666666</v>
      </c>
      <c r="P1552">
        <f t="shared" si="177"/>
        <v>425.5</v>
      </c>
      <c r="Q1552" t="str">
        <f t="shared" si="180"/>
        <v>photography</v>
      </c>
      <c r="R1552" t="str">
        <f t="shared" si="181"/>
        <v>nature</v>
      </c>
      <c r="S1552" s="9">
        <f t="shared" si="178"/>
        <v>42472.24113425926</v>
      </c>
      <c r="T1552" s="9">
        <f t="shared" si="179"/>
        <v>42502.24113425926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76"/>
        <v>0</v>
      </c>
      <c r="P1553">
        <f t="shared" si="177"/>
        <v>1750</v>
      </c>
      <c r="Q1553" t="str">
        <f t="shared" si="180"/>
        <v>photography</v>
      </c>
      <c r="R1553" t="str">
        <f t="shared" si="181"/>
        <v>nature</v>
      </c>
      <c r="S1553" s="9">
        <f t="shared" si="178"/>
        <v>42121.616192129623</v>
      </c>
      <c r="T1553" s="9">
        <f t="shared" si="179"/>
        <v>42151.616192129623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76"/>
        <v>0.49186046511627907</v>
      </c>
      <c r="P1554">
        <f t="shared" si="177"/>
        <v>3207.5</v>
      </c>
      <c r="Q1554" t="str">
        <f t="shared" si="180"/>
        <v>photography</v>
      </c>
      <c r="R1554" t="str">
        <f t="shared" si="181"/>
        <v>nature</v>
      </c>
      <c r="S1554" s="9">
        <f t="shared" si="178"/>
        <v>41892.480416666665</v>
      </c>
      <c r="T1554" s="9">
        <f t="shared" si="179"/>
        <v>41912.957638888889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76"/>
        <v>0</v>
      </c>
      <c r="P1555">
        <f t="shared" si="177"/>
        <v>3000</v>
      </c>
      <c r="Q1555" t="str">
        <f t="shared" si="180"/>
        <v>photography</v>
      </c>
      <c r="R1555" t="str">
        <f t="shared" si="181"/>
        <v>nature</v>
      </c>
      <c r="S1555" s="9">
        <f t="shared" si="178"/>
        <v>42219.074618055551</v>
      </c>
      <c r="T1555" s="9">
        <f t="shared" si="179"/>
        <v>42249.074618055551</v>
      </c>
    </row>
    <row r="1556" spans="1:20" ht="43.5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76"/>
        <v>0</v>
      </c>
      <c r="P1556">
        <f t="shared" si="177"/>
        <v>10000</v>
      </c>
      <c r="Q1556" t="str">
        <f t="shared" si="180"/>
        <v>photography</v>
      </c>
      <c r="R1556" t="str">
        <f t="shared" si="181"/>
        <v>nature</v>
      </c>
      <c r="S1556" s="9">
        <f t="shared" si="178"/>
        <v>42188.043865740743</v>
      </c>
      <c r="T1556" s="9">
        <f t="shared" si="179"/>
        <v>42218.043865740743</v>
      </c>
    </row>
    <row r="1557" spans="1:20" ht="29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76"/>
        <v>0</v>
      </c>
      <c r="P1557">
        <f t="shared" si="177"/>
        <v>375</v>
      </c>
      <c r="Q1557" t="str">
        <f t="shared" si="180"/>
        <v>photography</v>
      </c>
      <c r="R1557" t="str">
        <f t="shared" si="181"/>
        <v>nature</v>
      </c>
      <c r="S1557" s="9">
        <f t="shared" si="178"/>
        <v>42241.405462962961</v>
      </c>
      <c r="T1557" s="9">
        <f t="shared" si="179"/>
        <v>42264.499999999993</v>
      </c>
    </row>
    <row r="1558" spans="1:20" ht="29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76"/>
        <v>0.45133333333333331</v>
      </c>
      <c r="P1558">
        <f t="shared" si="177"/>
        <v>1088.5</v>
      </c>
      <c r="Q1558" t="str">
        <f t="shared" si="180"/>
        <v>photography</v>
      </c>
      <c r="R1558" t="str">
        <f t="shared" si="181"/>
        <v>nature</v>
      </c>
      <c r="S1558" s="9">
        <f t="shared" si="178"/>
        <v>42524.944722222215</v>
      </c>
      <c r="T1558" s="9">
        <f t="shared" si="179"/>
        <v>42554.944722222215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76"/>
        <v>0.04</v>
      </c>
      <c r="P1559">
        <f t="shared" si="177"/>
        <v>1300</v>
      </c>
      <c r="Q1559" t="str">
        <f t="shared" si="180"/>
        <v>photography</v>
      </c>
      <c r="R1559" t="str">
        <f t="shared" si="181"/>
        <v>nature</v>
      </c>
      <c r="S1559" s="9">
        <f t="shared" si="178"/>
        <v>41871.444826388884</v>
      </c>
      <c r="T1559" s="9">
        <f t="shared" si="179"/>
        <v>41902.444826388884</v>
      </c>
    </row>
    <row r="1560" spans="1:20" ht="29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76"/>
        <v>4.6666666666666669E-2</v>
      </c>
      <c r="P1560">
        <f t="shared" si="177"/>
        <v>392.5</v>
      </c>
      <c r="Q1560" t="str">
        <f t="shared" si="180"/>
        <v>photography</v>
      </c>
      <c r="R1560" t="str">
        <f t="shared" si="181"/>
        <v>nature</v>
      </c>
      <c r="S1560" s="9">
        <f t="shared" si="178"/>
        <v>42185.189340277771</v>
      </c>
      <c r="T1560" s="9">
        <f t="shared" si="179"/>
        <v>42244.299999999996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76"/>
        <v>3.3333333333333335E-3</v>
      </c>
      <c r="P1561">
        <f t="shared" si="177"/>
        <v>7525</v>
      </c>
      <c r="Q1561" t="str">
        <f t="shared" si="180"/>
        <v>photography</v>
      </c>
      <c r="R1561" t="str">
        <f t="shared" si="181"/>
        <v>nature</v>
      </c>
      <c r="S1561" s="9">
        <f t="shared" si="178"/>
        <v>42107.844895833332</v>
      </c>
      <c r="T1561" s="9">
        <f t="shared" si="179"/>
        <v>42122.844895833332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76"/>
        <v>3.7600000000000001E-2</v>
      </c>
      <c r="P1562">
        <f t="shared" si="177"/>
        <v>1297</v>
      </c>
      <c r="Q1562" t="str">
        <f t="shared" si="180"/>
        <v>photography</v>
      </c>
      <c r="R1562" t="str">
        <f t="shared" si="181"/>
        <v>nature</v>
      </c>
      <c r="S1562" s="9">
        <f t="shared" si="178"/>
        <v>41935.812418981477</v>
      </c>
      <c r="T1562" s="9">
        <f t="shared" si="179"/>
        <v>41955.854085648149</v>
      </c>
    </row>
    <row r="1563" spans="1:20" ht="43.5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76"/>
        <v>6.7000000000000002E-3</v>
      </c>
      <c r="P1563">
        <f t="shared" si="177"/>
        <v>5033.5</v>
      </c>
      <c r="Q1563" t="str">
        <f>IF(N1563="publishing/art books","publishing")</f>
        <v>publishing</v>
      </c>
      <c r="R1563" t="str">
        <f>IF(N1563="publishing/art books","art books")</f>
        <v>art books</v>
      </c>
      <c r="S1563" s="9">
        <f t="shared" si="178"/>
        <v>41554.833368055552</v>
      </c>
      <c r="T1563" s="9">
        <f t="shared" si="179"/>
        <v>41584.875034722216</v>
      </c>
    </row>
    <row r="1564" spans="1:20" ht="43.5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76"/>
        <v>0</v>
      </c>
      <c r="P1564">
        <f t="shared" si="177"/>
        <v>2000</v>
      </c>
      <c r="Q1564" t="str">
        <f t="shared" ref="Q1564:Q1582" si="182">IF(N1564="publishing/art books","publishing")</f>
        <v>publishing</v>
      </c>
      <c r="R1564" t="str">
        <f t="shared" ref="R1564:R1582" si="183">IF(N1564="publishing/art books","art books")</f>
        <v>art books</v>
      </c>
      <c r="S1564" s="9">
        <f t="shared" si="178"/>
        <v>40079.357824074068</v>
      </c>
      <c r="T1564" s="9">
        <f t="shared" si="179"/>
        <v>40148.826388888883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76"/>
        <v>1.4166666666666666E-2</v>
      </c>
      <c r="P1565">
        <f t="shared" si="177"/>
        <v>3042.5</v>
      </c>
      <c r="Q1565" t="str">
        <f t="shared" si="182"/>
        <v>publishing</v>
      </c>
      <c r="R1565" t="str">
        <f t="shared" si="183"/>
        <v>art books</v>
      </c>
      <c r="S1565" s="9">
        <f t="shared" si="178"/>
        <v>41652.534155092588</v>
      </c>
      <c r="T1565" s="9">
        <f t="shared" si="179"/>
        <v>41712.492488425924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76"/>
        <v>1E-3</v>
      </c>
      <c r="P1566">
        <f t="shared" si="177"/>
        <v>5005</v>
      </c>
      <c r="Q1566" t="str">
        <f t="shared" si="182"/>
        <v>publishing</v>
      </c>
      <c r="R1566" t="str">
        <f t="shared" si="183"/>
        <v>art books</v>
      </c>
      <c r="S1566" s="9">
        <f t="shared" si="178"/>
        <v>42121.158668981479</v>
      </c>
      <c r="T1566" s="9">
        <f t="shared" si="179"/>
        <v>42152.628472222219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76"/>
        <v>2.5000000000000001E-2</v>
      </c>
      <c r="P1567">
        <f t="shared" si="177"/>
        <v>2050</v>
      </c>
      <c r="Q1567" t="str">
        <f t="shared" si="182"/>
        <v>publishing</v>
      </c>
      <c r="R1567" t="str">
        <f t="shared" si="183"/>
        <v>art books</v>
      </c>
      <c r="S1567" s="9">
        <f t="shared" si="178"/>
        <v>40672.521539351852</v>
      </c>
      <c r="T1567" s="9">
        <f t="shared" si="179"/>
        <v>40702.521539351852</v>
      </c>
    </row>
    <row r="1568" spans="1:20" ht="29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76"/>
        <v>0.21249999999999999</v>
      </c>
      <c r="P1568">
        <f t="shared" si="177"/>
        <v>18187.5</v>
      </c>
      <c r="Q1568" t="str">
        <f t="shared" si="182"/>
        <v>publishing</v>
      </c>
      <c r="R1568" t="str">
        <f t="shared" si="183"/>
        <v>art books</v>
      </c>
      <c r="S1568" s="9">
        <f t="shared" si="178"/>
        <v>42549.708379629628</v>
      </c>
      <c r="T1568" s="9">
        <f t="shared" si="179"/>
        <v>42578.708333333336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76"/>
        <v>4.1176470588235294E-2</v>
      </c>
      <c r="P1569">
        <f t="shared" si="177"/>
        <v>4425</v>
      </c>
      <c r="Q1569" t="str">
        <f t="shared" si="182"/>
        <v>publishing</v>
      </c>
      <c r="R1569" t="str">
        <f t="shared" si="183"/>
        <v>art books</v>
      </c>
      <c r="S1569" s="9">
        <f t="shared" si="178"/>
        <v>41671.728530092594</v>
      </c>
      <c r="T1569" s="9">
        <f t="shared" si="179"/>
        <v>41686.791666666664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76"/>
        <v>0.13639999999999999</v>
      </c>
      <c r="P1570">
        <f t="shared" si="177"/>
        <v>14205</v>
      </c>
      <c r="Q1570" t="str">
        <f t="shared" si="182"/>
        <v>publishing</v>
      </c>
      <c r="R1570" t="str">
        <f t="shared" si="183"/>
        <v>art books</v>
      </c>
      <c r="S1570" s="9">
        <f t="shared" si="178"/>
        <v>41961.853993055549</v>
      </c>
      <c r="T1570" s="9">
        <f t="shared" si="179"/>
        <v>41996.853993055549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76"/>
        <v>0</v>
      </c>
      <c r="P1571">
        <f t="shared" si="177"/>
        <v>15000</v>
      </c>
      <c r="Q1571" t="str">
        <f t="shared" si="182"/>
        <v>publishing</v>
      </c>
      <c r="R1571" t="str">
        <f t="shared" si="183"/>
        <v>art books</v>
      </c>
      <c r="S1571" s="9">
        <f t="shared" si="178"/>
        <v>41389.471226851849</v>
      </c>
      <c r="T1571" s="9">
        <f t="shared" si="179"/>
        <v>41419.471226851849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76"/>
        <v>0.41399999999999998</v>
      </c>
      <c r="P1572">
        <f t="shared" si="177"/>
        <v>4242</v>
      </c>
      <c r="Q1572" t="str">
        <f t="shared" si="182"/>
        <v>publishing</v>
      </c>
      <c r="R1572" t="str">
        <f t="shared" si="183"/>
        <v>art books</v>
      </c>
      <c r="S1572" s="9">
        <f t="shared" si="178"/>
        <v>42438.605115740742</v>
      </c>
      <c r="T1572" s="9">
        <f t="shared" si="179"/>
        <v>42468.56344907407</v>
      </c>
    </row>
    <row r="1573" spans="1:20" ht="43.5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76"/>
        <v>6.6115702479338841E-3</v>
      </c>
      <c r="P1573">
        <f t="shared" si="177"/>
        <v>6090</v>
      </c>
      <c r="Q1573" t="str">
        <f t="shared" si="182"/>
        <v>publishing</v>
      </c>
      <c r="R1573" t="str">
        <f t="shared" si="183"/>
        <v>art books</v>
      </c>
      <c r="S1573" s="9">
        <f t="shared" si="178"/>
        <v>42144.56114583333</v>
      </c>
      <c r="T1573" s="9">
        <f t="shared" si="179"/>
        <v>42174.56114583333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76"/>
        <v>0.05</v>
      </c>
      <c r="P1574">
        <f t="shared" si="177"/>
        <v>1312.5</v>
      </c>
      <c r="Q1574" t="str">
        <f t="shared" si="182"/>
        <v>publishing</v>
      </c>
      <c r="R1574" t="str">
        <f t="shared" si="183"/>
        <v>art books</v>
      </c>
      <c r="S1574" s="9">
        <f t="shared" si="178"/>
        <v>42403.824756944443</v>
      </c>
      <c r="T1574" s="9">
        <f t="shared" si="179"/>
        <v>42428.790972222218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76"/>
        <v>2.4777777777777777E-2</v>
      </c>
      <c r="P1575">
        <f t="shared" si="177"/>
        <v>4611.5</v>
      </c>
      <c r="Q1575" t="str">
        <f t="shared" si="182"/>
        <v>publishing</v>
      </c>
      <c r="R1575" t="str">
        <f t="shared" si="183"/>
        <v>art books</v>
      </c>
      <c r="S1575" s="9">
        <f t="shared" si="178"/>
        <v>42785.791689814818</v>
      </c>
      <c r="T1575" s="9">
        <f t="shared" si="179"/>
        <v>42825.957638888889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76"/>
        <v>5.0599999999999999E-2</v>
      </c>
      <c r="P1576">
        <f t="shared" si="177"/>
        <v>5253</v>
      </c>
      <c r="Q1576" t="str">
        <f t="shared" si="182"/>
        <v>publishing</v>
      </c>
      <c r="R1576" t="str">
        <f t="shared" si="183"/>
        <v>art books</v>
      </c>
      <c r="S1576" s="9">
        <f t="shared" si="178"/>
        <v>42017.719085648147</v>
      </c>
      <c r="T1576" s="9">
        <f t="shared" si="179"/>
        <v>42052.719085648147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76"/>
        <v>0.2291</v>
      </c>
      <c r="P1577">
        <f t="shared" si="177"/>
        <v>6145.5</v>
      </c>
      <c r="Q1577" t="str">
        <f t="shared" si="182"/>
        <v>publishing</v>
      </c>
      <c r="R1577" t="str">
        <f t="shared" si="183"/>
        <v>art books</v>
      </c>
      <c r="S1577" s="9">
        <f t="shared" si="178"/>
        <v>41799.315925925919</v>
      </c>
      <c r="T1577" s="9">
        <f t="shared" si="179"/>
        <v>41829.315925925919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76"/>
        <v>0.13</v>
      </c>
      <c r="P1578">
        <f t="shared" si="177"/>
        <v>2825</v>
      </c>
      <c r="Q1578" t="str">
        <f t="shared" si="182"/>
        <v>publishing</v>
      </c>
      <c r="R1578" t="str">
        <f t="shared" si="183"/>
        <v>art books</v>
      </c>
      <c r="S1578" s="9">
        <f t="shared" si="178"/>
        <v>42140.670925925922</v>
      </c>
      <c r="T1578" s="9">
        <f t="shared" si="179"/>
        <v>42185.670925925922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76"/>
        <v>5.4999999999999997E-3</v>
      </c>
      <c r="P1579">
        <f t="shared" si="177"/>
        <v>5027.5</v>
      </c>
      <c r="Q1579" t="str">
        <f t="shared" si="182"/>
        <v>publishing</v>
      </c>
      <c r="R1579" t="str">
        <f t="shared" si="183"/>
        <v>art books</v>
      </c>
      <c r="S1579" s="9">
        <f t="shared" si="178"/>
        <v>41054.639444444438</v>
      </c>
      <c r="T1579" s="9">
        <f t="shared" si="179"/>
        <v>41114.639444444438</v>
      </c>
    </row>
    <row r="1580" spans="1:20" ht="43.5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76"/>
        <v>0.10806536636794939</v>
      </c>
      <c r="P1580">
        <f t="shared" si="177"/>
        <v>1051</v>
      </c>
      <c r="Q1580" t="str">
        <f t="shared" si="182"/>
        <v>publishing</v>
      </c>
      <c r="R1580" t="str">
        <f t="shared" si="183"/>
        <v>art books</v>
      </c>
      <c r="S1580" s="9">
        <f t="shared" si="178"/>
        <v>40398.857534722221</v>
      </c>
      <c r="T1580" s="9">
        <f t="shared" si="179"/>
        <v>40422.875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76"/>
        <v>8.4008400840084006E-3</v>
      </c>
      <c r="P1581">
        <f t="shared" si="177"/>
        <v>1680.5</v>
      </c>
      <c r="Q1581" t="str">
        <f t="shared" si="182"/>
        <v>publishing</v>
      </c>
      <c r="R1581" t="str">
        <f t="shared" si="183"/>
        <v>art books</v>
      </c>
      <c r="S1581" s="9">
        <f t="shared" si="178"/>
        <v>41481.788090277776</v>
      </c>
      <c r="T1581" s="9">
        <f t="shared" si="179"/>
        <v>41514.788090277776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76"/>
        <v>0</v>
      </c>
      <c r="P1582">
        <f t="shared" si="177"/>
        <v>875</v>
      </c>
      <c r="Q1582" t="str">
        <f t="shared" si="182"/>
        <v>publishing</v>
      </c>
      <c r="R1582" t="str">
        <f t="shared" si="183"/>
        <v>art books</v>
      </c>
      <c r="S1582" s="9">
        <f t="shared" si="178"/>
        <v>40989.841736111106</v>
      </c>
      <c r="T1582" s="9">
        <f t="shared" si="179"/>
        <v>41049.841736111106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76"/>
        <v>5.0000000000000001E-3</v>
      </c>
      <c r="P1583">
        <f t="shared" si="177"/>
        <v>502.5</v>
      </c>
      <c r="Q1583" t="str">
        <f>IF(N1583="photography/places","photography")</f>
        <v>photography</v>
      </c>
      <c r="R1583" t="str">
        <f>IF(N1583="photography/places","places")</f>
        <v>places</v>
      </c>
      <c r="S1583" s="9">
        <f t="shared" si="178"/>
        <v>42325.240624999999</v>
      </c>
      <c r="T1583" s="9">
        <f t="shared" si="179"/>
        <v>42357.240624999999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76"/>
        <v>9.2999999999999999E-2</v>
      </c>
      <c r="P1584">
        <f t="shared" si="177"/>
        <v>546.5</v>
      </c>
      <c r="Q1584" t="str">
        <f t="shared" ref="Q1584:Q1602" si="184">IF(N1584="photography/places","photography")</f>
        <v>photography</v>
      </c>
      <c r="R1584" t="str">
        <f t="shared" ref="R1584:R1602" si="185">IF(N1584="photography/places","places")</f>
        <v>places</v>
      </c>
      <c r="S1584" s="9">
        <f t="shared" si="178"/>
        <v>42246.581631944442</v>
      </c>
      <c r="T1584" s="9">
        <f t="shared" si="179"/>
        <v>42303.680555555555</v>
      </c>
    </row>
    <row r="1585" spans="1:20" ht="43.5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76"/>
        <v>7.5000000000000002E-4</v>
      </c>
      <c r="P1585">
        <f t="shared" si="177"/>
        <v>10007.5</v>
      </c>
      <c r="Q1585" t="str">
        <f t="shared" si="184"/>
        <v>photography</v>
      </c>
      <c r="R1585" t="str">
        <f t="shared" si="185"/>
        <v>places</v>
      </c>
      <c r="S1585" s="9">
        <f t="shared" si="178"/>
        <v>41877.696655092594</v>
      </c>
      <c r="T1585" s="9">
        <f t="shared" si="179"/>
        <v>41907.696655092594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76"/>
        <v>0</v>
      </c>
      <c r="P1586">
        <f t="shared" si="177"/>
        <v>600</v>
      </c>
      <c r="Q1586" t="str">
        <f t="shared" si="184"/>
        <v>photography</v>
      </c>
      <c r="R1586" t="str">
        <f t="shared" si="185"/>
        <v>places</v>
      </c>
      <c r="S1586" s="9">
        <f t="shared" si="178"/>
        <v>41779.440983796296</v>
      </c>
      <c r="T1586" s="9">
        <f t="shared" si="179"/>
        <v>41789.440983796296</v>
      </c>
    </row>
    <row r="1587" spans="1:20" ht="43.5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76"/>
        <v>0.79</v>
      </c>
      <c r="P1587">
        <f t="shared" si="177"/>
        <v>1790</v>
      </c>
      <c r="Q1587" t="str">
        <f t="shared" si="184"/>
        <v>photography</v>
      </c>
      <c r="R1587" t="str">
        <f t="shared" si="185"/>
        <v>places</v>
      </c>
      <c r="S1587" s="9">
        <f t="shared" si="178"/>
        <v>42707.687129629623</v>
      </c>
      <c r="T1587" s="9">
        <f t="shared" si="179"/>
        <v>42729.249999999993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76"/>
        <v>0</v>
      </c>
      <c r="P1588">
        <f t="shared" si="177"/>
        <v>750</v>
      </c>
      <c r="Q1588" t="str">
        <f t="shared" si="184"/>
        <v>photography</v>
      </c>
      <c r="R1588" t="str">
        <f t="shared" si="185"/>
        <v>places</v>
      </c>
      <c r="S1588" s="9">
        <f t="shared" si="178"/>
        <v>42068.896087962959</v>
      </c>
      <c r="T1588" s="9">
        <f t="shared" si="179"/>
        <v>42098.854421296295</v>
      </c>
    </row>
    <row r="1589" spans="1:20" ht="43.5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76"/>
        <v>1.3333333333333334E-4</v>
      </c>
      <c r="P1589">
        <f t="shared" si="177"/>
        <v>3750.5</v>
      </c>
      <c r="Q1589" t="str">
        <f t="shared" si="184"/>
        <v>photography</v>
      </c>
      <c r="R1589" t="str">
        <f t="shared" si="185"/>
        <v>places</v>
      </c>
      <c r="S1589" s="9">
        <f t="shared" si="178"/>
        <v>41956.742650462962</v>
      </c>
      <c r="T1589" s="9">
        <f t="shared" si="179"/>
        <v>41986.742650462962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76"/>
        <v>0</v>
      </c>
      <c r="P1590">
        <f t="shared" si="177"/>
        <v>258</v>
      </c>
      <c r="Q1590" t="str">
        <f t="shared" si="184"/>
        <v>photography</v>
      </c>
      <c r="R1590" t="str">
        <f t="shared" si="185"/>
        <v>places</v>
      </c>
      <c r="S1590" s="9">
        <f t="shared" si="178"/>
        <v>42005.041655092595</v>
      </c>
      <c r="T1590" s="9">
        <f t="shared" si="179"/>
        <v>42035.633333333331</v>
      </c>
    </row>
    <row r="1591" spans="1:20" ht="29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76"/>
        <v>0</v>
      </c>
      <c r="P1591">
        <f t="shared" si="177"/>
        <v>600</v>
      </c>
      <c r="Q1591" t="str">
        <f t="shared" si="184"/>
        <v>photography</v>
      </c>
      <c r="R1591" t="str">
        <f t="shared" si="185"/>
        <v>places</v>
      </c>
      <c r="S1591" s="9">
        <f t="shared" si="178"/>
        <v>42256.776458333326</v>
      </c>
      <c r="T1591" s="9">
        <f t="shared" si="179"/>
        <v>42286.776458333326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76"/>
        <v>1.7000000000000001E-2</v>
      </c>
      <c r="P1592">
        <f t="shared" si="177"/>
        <v>30510</v>
      </c>
      <c r="Q1592" t="str">
        <f t="shared" si="184"/>
        <v>photography</v>
      </c>
      <c r="R1592" t="str">
        <f t="shared" si="185"/>
        <v>places</v>
      </c>
      <c r="S1592" s="9">
        <f t="shared" si="178"/>
        <v>42240.648888888885</v>
      </c>
      <c r="T1592" s="9">
        <f t="shared" si="179"/>
        <v>42270.648888888885</v>
      </c>
    </row>
    <row r="1593" spans="1:20" ht="43.5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76"/>
        <v>0.29228571428571426</v>
      </c>
      <c r="P1593">
        <f t="shared" si="177"/>
        <v>9046</v>
      </c>
      <c r="Q1593" t="str">
        <f t="shared" si="184"/>
        <v>photography</v>
      </c>
      <c r="R1593" t="str">
        <f t="shared" si="185"/>
        <v>places</v>
      </c>
      <c r="S1593" s="9">
        <f t="shared" si="178"/>
        <v>42433.517835648141</v>
      </c>
      <c r="T1593" s="9">
        <f t="shared" si="179"/>
        <v>42463.476168981484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76"/>
        <v>0</v>
      </c>
      <c r="P1594">
        <f t="shared" si="177"/>
        <v>12.5</v>
      </c>
      <c r="Q1594" t="str">
        <f t="shared" si="184"/>
        <v>photography</v>
      </c>
      <c r="R1594" t="str">
        <f t="shared" si="185"/>
        <v>places</v>
      </c>
      <c r="S1594" s="9">
        <f t="shared" si="178"/>
        <v>42045.86440972222</v>
      </c>
      <c r="T1594" s="9">
        <f t="shared" si="179"/>
        <v>42090.822743055549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76"/>
        <v>1.3636363636363637E-4</v>
      </c>
      <c r="P1595">
        <f t="shared" si="177"/>
        <v>11001.5</v>
      </c>
      <c r="Q1595" t="str">
        <f t="shared" si="184"/>
        <v>photography</v>
      </c>
      <c r="R1595" t="str">
        <f t="shared" si="185"/>
        <v>places</v>
      </c>
      <c r="S1595" s="9">
        <f t="shared" si="178"/>
        <v>42033.63721064815</v>
      </c>
      <c r="T1595" s="9">
        <f t="shared" si="179"/>
        <v>42063.63721064815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76"/>
        <v>0.20499999999999999</v>
      </c>
      <c r="P1596">
        <f t="shared" si="177"/>
        <v>602.5</v>
      </c>
      <c r="Q1596" t="str">
        <f t="shared" si="184"/>
        <v>photography</v>
      </c>
      <c r="R1596" t="str">
        <f t="shared" si="185"/>
        <v>places</v>
      </c>
      <c r="S1596" s="9">
        <f t="shared" si="178"/>
        <v>42445.504421296289</v>
      </c>
      <c r="T1596" s="9">
        <f t="shared" si="179"/>
        <v>42505.472916666666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76"/>
        <v>2.8E-3</v>
      </c>
      <c r="P1597">
        <f t="shared" si="177"/>
        <v>50140</v>
      </c>
      <c r="Q1597" t="str">
        <f t="shared" si="184"/>
        <v>photography</v>
      </c>
      <c r="R1597" t="str">
        <f t="shared" si="185"/>
        <v>places</v>
      </c>
      <c r="S1597" s="9">
        <f t="shared" si="178"/>
        <v>41779.84175925926</v>
      </c>
      <c r="T1597" s="9">
        <f t="shared" si="179"/>
        <v>41808.634027777771</v>
      </c>
    </row>
    <row r="1598" spans="1:20" ht="29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76"/>
        <v>2.3076923076923078E-2</v>
      </c>
      <c r="P1598">
        <f t="shared" si="177"/>
        <v>1662.5</v>
      </c>
      <c r="Q1598" t="str">
        <f t="shared" si="184"/>
        <v>photography</v>
      </c>
      <c r="R1598" t="str">
        <f t="shared" si="185"/>
        <v>places</v>
      </c>
      <c r="S1598" s="9">
        <f t="shared" si="178"/>
        <v>41941.221863425926</v>
      </c>
      <c r="T1598" s="9">
        <f t="shared" si="179"/>
        <v>41986.26353009259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76"/>
        <v>0</v>
      </c>
      <c r="P1599">
        <f t="shared" si="177"/>
        <v>7500</v>
      </c>
      <c r="Q1599" t="str">
        <f t="shared" si="184"/>
        <v>photography</v>
      </c>
      <c r="R1599" t="str">
        <f t="shared" si="185"/>
        <v>places</v>
      </c>
      <c r="S1599" s="9">
        <f t="shared" si="178"/>
        <v>42603.145798611113</v>
      </c>
      <c r="T1599" s="9">
        <f t="shared" si="179"/>
        <v>42633.145798611113</v>
      </c>
    </row>
    <row r="1600" spans="1:20" ht="43.5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76"/>
        <v>1.25E-3</v>
      </c>
      <c r="P1600">
        <f t="shared" si="177"/>
        <v>400.5</v>
      </c>
      <c r="Q1600" t="str">
        <f t="shared" si="184"/>
        <v>photography</v>
      </c>
      <c r="R1600" t="str">
        <f t="shared" si="185"/>
        <v>places</v>
      </c>
      <c r="S1600" s="9">
        <f t="shared" si="178"/>
        <v>42151.459004629629</v>
      </c>
      <c r="T1600" s="9">
        <f t="shared" si="179"/>
        <v>42211.459004629629</v>
      </c>
    </row>
    <row r="1601" spans="1:20" ht="29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76"/>
        <v>0</v>
      </c>
      <c r="P1601">
        <f t="shared" si="177"/>
        <v>250</v>
      </c>
      <c r="Q1601" t="str">
        <f t="shared" si="184"/>
        <v>photography</v>
      </c>
      <c r="R1601" t="str">
        <f t="shared" si="185"/>
        <v>places</v>
      </c>
      <c r="S1601" s="9">
        <f t="shared" si="178"/>
        <v>42438.330740740734</v>
      </c>
      <c r="T1601" s="9">
        <f t="shared" si="179"/>
        <v>42468.289074074077</v>
      </c>
    </row>
    <row r="1602" spans="1:20" ht="43.5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76"/>
        <v>7.3400000000000007E-2</v>
      </c>
      <c r="P1602">
        <f t="shared" si="177"/>
        <v>2683.5</v>
      </c>
      <c r="Q1602" t="str">
        <f t="shared" si="184"/>
        <v>photography</v>
      </c>
      <c r="R1602" t="str">
        <f t="shared" si="185"/>
        <v>places</v>
      </c>
      <c r="S1602" s="9">
        <f t="shared" si="178"/>
        <v>41790.848981481475</v>
      </c>
      <c r="T1602" s="9">
        <f t="shared" si="179"/>
        <v>41835.007638888885</v>
      </c>
    </row>
    <row r="1603" spans="1:20" ht="29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86">E1603/D1603</f>
        <v>1.082492</v>
      </c>
      <c r="P1603">
        <f t="shared" ref="P1603:P1666" si="187">AVERAGE(D1603:E1603)</f>
        <v>2603.1149999999998</v>
      </c>
      <c r="Q1603" t="str">
        <f>IF(N1603="music/rock","music")</f>
        <v>music</v>
      </c>
      <c r="R1603" t="str">
        <f>IF(N1603="music/rock","rock")</f>
        <v>rock</v>
      </c>
      <c r="S1603" s="9">
        <f t="shared" ref="S1603:S1666" si="188">J1603/86400+25569+(-5/24)</f>
        <v>40637.884641203702</v>
      </c>
      <c r="T1603" s="9">
        <f t="shared" si="179"/>
        <v>40667.884641203702</v>
      </c>
    </row>
    <row r="1604" spans="1:20" ht="29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86"/>
        <v>1.0016666666666667</v>
      </c>
      <c r="P1604">
        <f t="shared" si="187"/>
        <v>1501.25</v>
      </c>
      <c r="Q1604" t="str">
        <f t="shared" ref="Q1604:Q1642" si="189">IF(N1604="music/rock","music")</f>
        <v>music</v>
      </c>
      <c r="R1604" t="str">
        <f t="shared" ref="R1604:R1642" si="190">IF(N1604="music/rock","rock")</f>
        <v>rock</v>
      </c>
      <c r="S1604" s="9">
        <f t="shared" si="188"/>
        <v>40788.089317129627</v>
      </c>
      <c r="T1604" s="9">
        <f t="shared" ref="T1604:T1667" si="191">I1604/86400+25569+(-5/24)</f>
        <v>40830.75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86"/>
        <v>1.0003299999999999</v>
      </c>
      <c r="P1605">
        <f t="shared" si="187"/>
        <v>2000.33</v>
      </c>
      <c r="Q1605" t="str">
        <f t="shared" si="189"/>
        <v>music</v>
      </c>
      <c r="R1605" t="str">
        <f t="shared" si="190"/>
        <v>rock</v>
      </c>
      <c r="S1605" s="9">
        <f t="shared" si="188"/>
        <v>40875.961331018516</v>
      </c>
      <c r="T1605" s="9">
        <f t="shared" si="191"/>
        <v>40935.961331018516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86"/>
        <v>1.2210714285714286</v>
      </c>
      <c r="P1606">
        <f t="shared" si="187"/>
        <v>3109.5</v>
      </c>
      <c r="Q1606" t="str">
        <f t="shared" si="189"/>
        <v>music</v>
      </c>
      <c r="R1606" t="str">
        <f t="shared" si="190"/>
        <v>rock</v>
      </c>
      <c r="S1606" s="9">
        <f t="shared" si="188"/>
        <v>40945.636979166666</v>
      </c>
      <c r="T1606" s="9">
        <f t="shared" si="191"/>
        <v>40985.595312500001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86"/>
        <v>1.0069333333333335</v>
      </c>
      <c r="P1607">
        <f t="shared" si="187"/>
        <v>6020.8</v>
      </c>
      <c r="Q1607" t="str">
        <f t="shared" si="189"/>
        <v>music</v>
      </c>
      <c r="R1607" t="str">
        <f t="shared" si="190"/>
        <v>rock</v>
      </c>
      <c r="S1607" s="9">
        <f t="shared" si="188"/>
        <v>40746.804548611108</v>
      </c>
      <c r="T1607" s="9">
        <f t="shared" si="191"/>
        <v>40756.083333333328</v>
      </c>
    </row>
    <row r="1608" spans="1:20" ht="43.5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86"/>
        <v>1.01004125</v>
      </c>
      <c r="P1608">
        <f t="shared" si="187"/>
        <v>8040.165</v>
      </c>
      <c r="Q1608" t="str">
        <f t="shared" si="189"/>
        <v>music</v>
      </c>
      <c r="R1608" t="str">
        <f t="shared" si="190"/>
        <v>rock</v>
      </c>
      <c r="S1608" s="9">
        <f t="shared" si="188"/>
        <v>40535.903217592589</v>
      </c>
      <c r="T1608" s="9">
        <f t="shared" si="191"/>
        <v>40625.861550925925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86"/>
        <v>1.4511000000000001</v>
      </c>
      <c r="P1609">
        <f t="shared" si="187"/>
        <v>12255.5</v>
      </c>
      <c r="Q1609" t="str">
        <f t="shared" si="189"/>
        <v>music</v>
      </c>
      <c r="R1609" t="str">
        <f t="shared" si="190"/>
        <v>rock</v>
      </c>
      <c r="S1609" s="9">
        <f t="shared" si="188"/>
        <v>41053.600127314814</v>
      </c>
      <c r="T1609" s="9">
        <f t="shared" si="191"/>
        <v>41074.600127314814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86"/>
        <v>1.0125</v>
      </c>
      <c r="P1610">
        <f t="shared" si="187"/>
        <v>1207.5</v>
      </c>
      <c r="Q1610" t="str">
        <f t="shared" si="189"/>
        <v>music</v>
      </c>
      <c r="R1610" t="str">
        <f t="shared" si="190"/>
        <v>rock</v>
      </c>
      <c r="S1610" s="9">
        <f t="shared" si="188"/>
        <v>41607.622523148144</v>
      </c>
      <c r="T1610" s="9">
        <f t="shared" si="191"/>
        <v>41640.018055555549</v>
      </c>
    </row>
    <row r="1611" spans="1:20" ht="29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86"/>
        <v>1.1833333333333333</v>
      </c>
      <c r="P1611">
        <f t="shared" si="187"/>
        <v>1637.5</v>
      </c>
      <c r="Q1611" t="str">
        <f t="shared" si="189"/>
        <v>music</v>
      </c>
      <c r="R1611" t="str">
        <f t="shared" si="190"/>
        <v>rock</v>
      </c>
      <c r="S1611" s="9">
        <f t="shared" si="188"/>
        <v>40795.792928240735</v>
      </c>
      <c r="T1611" s="9">
        <f t="shared" si="191"/>
        <v>40849.125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86"/>
        <v>2.7185000000000001</v>
      </c>
      <c r="P1612">
        <f t="shared" si="187"/>
        <v>3718.5</v>
      </c>
      <c r="Q1612" t="str">
        <f t="shared" si="189"/>
        <v>music</v>
      </c>
      <c r="R1612" t="str">
        <f t="shared" si="190"/>
        <v>rock</v>
      </c>
      <c r="S1612" s="9">
        <f t="shared" si="188"/>
        <v>41228.716550925921</v>
      </c>
      <c r="T1612" s="9">
        <f t="shared" si="191"/>
        <v>41258.716550925921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86"/>
        <v>1.25125</v>
      </c>
      <c r="P1613">
        <f t="shared" si="187"/>
        <v>900.5</v>
      </c>
      <c r="Q1613" t="str">
        <f t="shared" si="189"/>
        <v>music</v>
      </c>
      <c r="R1613" t="str">
        <f t="shared" si="190"/>
        <v>rock</v>
      </c>
      <c r="S1613" s="9">
        <f t="shared" si="188"/>
        <v>41408.792037037034</v>
      </c>
      <c r="T1613" s="9">
        <f t="shared" si="191"/>
        <v>41429.792037037034</v>
      </c>
    </row>
    <row r="1614" spans="1:20" ht="29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86"/>
        <v>1.1000000000000001</v>
      </c>
      <c r="P1614">
        <f t="shared" si="187"/>
        <v>525</v>
      </c>
      <c r="Q1614" t="str">
        <f t="shared" si="189"/>
        <v>music</v>
      </c>
      <c r="R1614" t="str">
        <f t="shared" si="190"/>
        <v>rock</v>
      </c>
      <c r="S1614" s="9">
        <f t="shared" si="188"/>
        <v>41246.666481481479</v>
      </c>
      <c r="T1614" s="9">
        <f t="shared" si="191"/>
        <v>41276.666481481479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86"/>
        <v>1.0149999999999999</v>
      </c>
      <c r="P1615">
        <f t="shared" si="187"/>
        <v>1007.5</v>
      </c>
      <c r="Q1615" t="str">
        <f t="shared" si="189"/>
        <v>music</v>
      </c>
      <c r="R1615" t="str">
        <f t="shared" si="190"/>
        <v>rock</v>
      </c>
      <c r="S1615" s="9">
        <f t="shared" si="188"/>
        <v>41081.861134259256</v>
      </c>
      <c r="T1615" s="9">
        <f t="shared" si="191"/>
        <v>41111.861134259256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86"/>
        <v>1.0269999999999999</v>
      </c>
      <c r="P1616">
        <f t="shared" si="187"/>
        <v>5067.5</v>
      </c>
      <c r="Q1616" t="str">
        <f t="shared" si="189"/>
        <v>music</v>
      </c>
      <c r="R1616" t="str">
        <f t="shared" si="190"/>
        <v>rock</v>
      </c>
      <c r="S1616" s="9">
        <f t="shared" si="188"/>
        <v>41794.772789351853</v>
      </c>
      <c r="T1616" s="9">
        <f t="shared" si="191"/>
        <v>41854.5</v>
      </c>
    </row>
    <row r="1617" spans="1:20" ht="29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86"/>
        <v>1.1412500000000001</v>
      </c>
      <c r="P1617">
        <f t="shared" si="187"/>
        <v>8565</v>
      </c>
      <c r="Q1617" t="str">
        <f t="shared" si="189"/>
        <v>music</v>
      </c>
      <c r="R1617" t="str">
        <f t="shared" si="190"/>
        <v>rock</v>
      </c>
      <c r="S1617" s="9">
        <f t="shared" si="188"/>
        <v>40844.842546296291</v>
      </c>
      <c r="T1617" s="9">
        <f t="shared" si="191"/>
        <v>40889.884212962963</v>
      </c>
    </row>
    <row r="1618" spans="1:20" ht="29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86"/>
        <v>1.042</v>
      </c>
      <c r="P1618">
        <f t="shared" si="187"/>
        <v>10210</v>
      </c>
      <c r="Q1618" t="str">
        <f t="shared" si="189"/>
        <v>music</v>
      </c>
      <c r="R1618" t="str">
        <f t="shared" si="190"/>
        <v>rock</v>
      </c>
      <c r="S1618" s="9">
        <f t="shared" si="188"/>
        <v>41194.507187499999</v>
      </c>
      <c r="T1618" s="9">
        <f t="shared" si="191"/>
        <v>41235.708333333328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86"/>
        <v>1.4585714285714286</v>
      </c>
      <c r="P1619">
        <f t="shared" si="187"/>
        <v>8605</v>
      </c>
      <c r="Q1619" t="str">
        <f t="shared" si="189"/>
        <v>music</v>
      </c>
      <c r="R1619" t="str">
        <f t="shared" si="190"/>
        <v>rock</v>
      </c>
      <c r="S1619" s="9">
        <f t="shared" si="188"/>
        <v>41546.455879629626</v>
      </c>
      <c r="T1619" s="9">
        <f t="shared" si="191"/>
        <v>41579.583333333328</v>
      </c>
    </row>
    <row r="1620" spans="1:20" ht="29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86"/>
        <v>1.0506666666666666</v>
      </c>
      <c r="P1620">
        <f t="shared" si="187"/>
        <v>1538</v>
      </c>
      <c r="Q1620" t="str">
        <f t="shared" si="189"/>
        <v>music</v>
      </c>
      <c r="R1620" t="str">
        <f t="shared" si="190"/>
        <v>rock</v>
      </c>
      <c r="S1620" s="9">
        <f t="shared" si="188"/>
        <v>41301.446006944439</v>
      </c>
      <c r="T1620" s="9">
        <f t="shared" si="191"/>
        <v>41341.446006944439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86"/>
        <v>1.3333333333333333</v>
      </c>
      <c r="P1621">
        <f t="shared" si="187"/>
        <v>1750</v>
      </c>
      <c r="Q1621" t="str">
        <f t="shared" si="189"/>
        <v>music</v>
      </c>
      <c r="R1621" t="str">
        <f t="shared" si="190"/>
        <v>rock</v>
      </c>
      <c r="S1621" s="9">
        <f t="shared" si="188"/>
        <v>41875.977847222217</v>
      </c>
      <c r="T1621" s="9">
        <f t="shared" si="191"/>
        <v>41896.977847222217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86"/>
        <v>1.1299999999999999</v>
      </c>
      <c r="P1622">
        <f t="shared" si="187"/>
        <v>1065</v>
      </c>
      <c r="Q1622" t="str">
        <f t="shared" si="189"/>
        <v>music</v>
      </c>
      <c r="R1622" t="str">
        <f t="shared" si="190"/>
        <v>rock</v>
      </c>
      <c r="S1622" s="9">
        <f t="shared" si="188"/>
        <v>41321.131249999999</v>
      </c>
      <c r="T1622" s="9">
        <f t="shared" si="191"/>
        <v>41328.131249999999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86"/>
        <v>1.212</v>
      </c>
      <c r="P1623">
        <f t="shared" si="187"/>
        <v>5530</v>
      </c>
      <c r="Q1623" t="str">
        <f t="shared" si="189"/>
        <v>music</v>
      </c>
      <c r="R1623" t="str">
        <f t="shared" si="190"/>
        <v>rock</v>
      </c>
      <c r="S1623" s="9">
        <f t="shared" si="188"/>
        <v>41003.398321759254</v>
      </c>
      <c r="T1623" s="9">
        <f t="shared" si="191"/>
        <v>41056.957638888889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86"/>
        <v>1.0172463768115942</v>
      </c>
      <c r="P1624">
        <f t="shared" si="187"/>
        <v>6959.5</v>
      </c>
      <c r="Q1624" t="str">
        <f t="shared" si="189"/>
        <v>music</v>
      </c>
      <c r="R1624" t="str">
        <f t="shared" si="190"/>
        <v>rock</v>
      </c>
      <c r="S1624" s="9">
        <f t="shared" si="188"/>
        <v>41950.086504629631</v>
      </c>
      <c r="T1624" s="9">
        <f t="shared" si="191"/>
        <v>41990.124305555553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86"/>
        <v>1.0106666666666666</v>
      </c>
      <c r="P1625">
        <f t="shared" si="187"/>
        <v>754</v>
      </c>
      <c r="Q1625" t="str">
        <f t="shared" si="189"/>
        <v>music</v>
      </c>
      <c r="R1625" t="str">
        <f t="shared" si="190"/>
        <v>rock</v>
      </c>
      <c r="S1625" s="9">
        <f t="shared" si="188"/>
        <v>41453.480196759258</v>
      </c>
      <c r="T1625" s="9">
        <f t="shared" si="191"/>
        <v>41513.480196759258</v>
      </c>
    </row>
    <row r="1626" spans="1:20" ht="29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86"/>
        <v>1.18</v>
      </c>
      <c r="P1626">
        <f t="shared" si="187"/>
        <v>1090</v>
      </c>
      <c r="Q1626" t="str">
        <f t="shared" si="189"/>
        <v>music</v>
      </c>
      <c r="R1626" t="str">
        <f t="shared" si="190"/>
        <v>rock</v>
      </c>
      <c r="S1626" s="9">
        <f t="shared" si="188"/>
        <v>41243.158969907403</v>
      </c>
      <c r="T1626" s="9">
        <f t="shared" si="191"/>
        <v>41283.158969907403</v>
      </c>
    </row>
    <row r="1627" spans="1:20" ht="43.5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86"/>
        <v>1.5533333333333332</v>
      </c>
      <c r="P1627">
        <f t="shared" si="187"/>
        <v>9575</v>
      </c>
      <c r="Q1627" t="str">
        <f t="shared" si="189"/>
        <v>music</v>
      </c>
      <c r="R1627" t="str">
        <f t="shared" si="190"/>
        <v>rock</v>
      </c>
      <c r="S1627" s="9">
        <f t="shared" si="188"/>
        <v>41135.491354166668</v>
      </c>
      <c r="T1627" s="9">
        <f t="shared" si="191"/>
        <v>41163.491354166668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86"/>
        <v>1.0118750000000001</v>
      </c>
      <c r="P1628">
        <f t="shared" si="187"/>
        <v>8047.5</v>
      </c>
      <c r="Q1628" t="str">
        <f t="shared" si="189"/>
        <v>music</v>
      </c>
      <c r="R1628" t="str">
        <f t="shared" si="190"/>
        <v>rock</v>
      </c>
      <c r="S1628" s="9">
        <f t="shared" si="188"/>
        <v>41579.639664351846</v>
      </c>
      <c r="T1628" s="9">
        <f t="shared" si="191"/>
        <v>41609.681331018517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86"/>
        <v>1.17</v>
      </c>
      <c r="P1629">
        <f t="shared" si="187"/>
        <v>2170</v>
      </c>
      <c r="Q1629" t="str">
        <f t="shared" si="189"/>
        <v>music</v>
      </c>
      <c r="R1629" t="str">
        <f t="shared" si="190"/>
        <v>rock</v>
      </c>
      <c r="S1629" s="9">
        <f t="shared" si="188"/>
        <v>41205.498715277776</v>
      </c>
      <c r="T1629" s="9">
        <f t="shared" si="191"/>
        <v>41238.999305555553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86"/>
        <v>1.00925</v>
      </c>
      <c r="P1630">
        <f t="shared" si="187"/>
        <v>4018.5</v>
      </c>
      <c r="Q1630" t="str">
        <f t="shared" si="189"/>
        <v>music</v>
      </c>
      <c r="R1630" t="str">
        <f t="shared" si="190"/>
        <v>rock</v>
      </c>
      <c r="S1630" s="9">
        <f t="shared" si="188"/>
        <v>41774.528726851851</v>
      </c>
      <c r="T1630" s="9">
        <f t="shared" si="191"/>
        <v>41807.528726851851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86"/>
        <v>1.0366666666666666</v>
      </c>
      <c r="P1631">
        <f t="shared" si="187"/>
        <v>6110</v>
      </c>
      <c r="Q1631" t="str">
        <f t="shared" si="189"/>
        <v>music</v>
      </c>
      <c r="R1631" t="str">
        <f t="shared" si="190"/>
        <v>rock</v>
      </c>
      <c r="S1631" s="9">
        <f t="shared" si="188"/>
        <v>41645.658946759257</v>
      </c>
      <c r="T1631" s="9">
        <f t="shared" si="191"/>
        <v>41690.658946759257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86"/>
        <v>2.6524999999999999</v>
      </c>
      <c r="P1632">
        <f t="shared" si="187"/>
        <v>7305</v>
      </c>
      <c r="Q1632" t="str">
        <f t="shared" si="189"/>
        <v>music</v>
      </c>
      <c r="R1632" t="str">
        <f t="shared" si="190"/>
        <v>rock</v>
      </c>
      <c r="S1632" s="9">
        <f t="shared" si="188"/>
        <v>40939.629340277774</v>
      </c>
      <c r="T1632" s="9">
        <f t="shared" si="191"/>
        <v>40970.082638888889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86"/>
        <v>1.5590999999999999</v>
      </c>
      <c r="P1633">
        <f t="shared" si="187"/>
        <v>12795.5</v>
      </c>
      <c r="Q1633" t="str">
        <f t="shared" si="189"/>
        <v>music</v>
      </c>
      <c r="R1633" t="str">
        <f t="shared" si="190"/>
        <v>rock</v>
      </c>
      <c r="S1633" s="9">
        <f t="shared" si="188"/>
        <v>41164.65116898148</v>
      </c>
      <c r="T1633" s="9">
        <f t="shared" si="191"/>
        <v>41194.65116898148</v>
      </c>
    </row>
    <row r="1634" spans="1:20" ht="43.5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86"/>
        <v>1.0162500000000001</v>
      </c>
      <c r="P1634">
        <f t="shared" si="187"/>
        <v>4032.5</v>
      </c>
      <c r="Q1634" t="str">
        <f t="shared" si="189"/>
        <v>music</v>
      </c>
      <c r="R1634" t="str">
        <f t="shared" si="190"/>
        <v>rock</v>
      </c>
      <c r="S1634" s="9">
        <f t="shared" si="188"/>
        <v>40750.132569444446</v>
      </c>
      <c r="T1634" s="9">
        <f t="shared" si="191"/>
        <v>40810.132569444446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86"/>
        <v>1</v>
      </c>
      <c r="P1635">
        <f t="shared" si="187"/>
        <v>10000</v>
      </c>
      <c r="Q1635" t="str">
        <f t="shared" si="189"/>
        <v>music</v>
      </c>
      <c r="R1635" t="str">
        <f t="shared" si="190"/>
        <v>rock</v>
      </c>
      <c r="S1635" s="9">
        <f t="shared" si="188"/>
        <v>40896.675416666665</v>
      </c>
      <c r="T1635" s="9">
        <f t="shared" si="191"/>
        <v>40924</v>
      </c>
    </row>
    <row r="1636" spans="1:20" ht="29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86"/>
        <v>1.0049999999999999</v>
      </c>
      <c r="P1636">
        <f t="shared" si="187"/>
        <v>2005</v>
      </c>
      <c r="Q1636" t="str">
        <f t="shared" si="189"/>
        <v>music</v>
      </c>
      <c r="R1636" t="str">
        <f t="shared" si="190"/>
        <v>rock</v>
      </c>
      <c r="S1636" s="9">
        <f t="shared" si="188"/>
        <v>40657.981493055551</v>
      </c>
      <c r="T1636" s="9">
        <f t="shared" si="191"/>
        <v>40696.040972222218</v>
      </c>
    </row>
    <row r="1637" spans="1:20" ht="43.5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86"/>
        <v>1.2529999999999999</v>
      </c>
      <c r="P1637">
        <f t="shared" si="187"/>
        <v>2253</v>
      </c>
      <c r="Q1637" t="str">
        <f t="shared" si="189"/>
        <v>music</v>
      </c>
      <c r="R1637" t="str">
        <f t="shared" si="190"/>
        <v>rock</v>
      </c>
      <c r="S1637" s="9">
        <f t="shared" si="188"/>
        <v>42502.660428240742</v>
      </c>
      <c r="T1637" s="9">
        <f t="shared" si="191"/>
        <v>42562.660428240742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86"/>
        <v>1.0355555555555556</v>
      </c>
      <c r="P1638">
        <f t="shared" si="187"/>
        <v>4580</v>
      </c>
      <c r="Q1638" t="str">
        <f t="shared" si="189"/>
        <v>music</v>
      </c>
      <c r="R1638" t="str">
        <f t="shared" si="190"/>
        <v>rock</v>
      </c>
      <c r="S1638" s="9">
        <f t="shared" si="188"/>
        <v>40662.878333333334</v>
      </c>
      <c r="T1638" s="9">
        <f t="shared" si="191"/>
        <v>40705.958333333328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86"/>
        <v>1.038</v>
      </c>
      <c r="P1639">
        <f t="shared" si="187"/>
        <v>509.5</v>
      </c>
      <c r="Q1639" t="str">
        <f t="shared" si="189"/>
        <v>music</v>
      </c>
      <c r="R1639" t="str">
        <f t="shared" si="190"/>
        <v>rock</v>
      </c>
      <c r="S1639" s="9">
        <f t="shared" si="188"/>
        <v>40122.543287037035</v>
      </c>
      <c r="T1639" s="9">
        <f t="shared" si="191"/>
        <v>40178.777083333327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86"/>
        <v>1.05</v>
      </c>
      <c r="P1640">
        <f t="shared" si="187"/>
        <v>1025</v>
      </c>
      <c r="Q1640" t="str">
        <f t="shared" si="189"/>
        <v>music</v>
      </c>
      <c r="R1640" t="str">
        <f t="shared" si="190"/>
        <v>rock</v>
      </c>
      <c r="S1640" s="9">
        <f t="shared" si="188"/>
        <v>41288.478796296295</v>
      </c>
      <c r="T1640" s="9">
        <f t="shared" si="191"/>
        <v>41333.684027777774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86"/>
        <v>1</v>
      </c>
      <c r="P1641">
        <f t="shared" si="187"/>
        <v>1800</v>
      </c>
      <c r="Q1641" t="str">
        <f t="shared" si="189"/>
        <v>music</v>
      </c>
      <c r="R1641" t="str">
        <f t="shared" si="190"/>
        <v>rock</v>
      </c>
      <c r="S1641" s="9">
        <f t="shared" si="188"/>
        <v>40941.444039351853</v>
      </c>
      <c r="T1641" s="9">
        <f t="shared" si="191"/>
        <v>40971.444039351853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86"/>
        <v>1.6986000000000001</v>
      </c>
      <c r="P1642">
        <f t="shared" si="187"/>
        <v>539.72</v>
      </c>
      <c r="Q1642" t="str">
        <f t="shared" si="189"/>
        <v>music</v>
      </c>
      <c r="R1642" t="str">
        <f t="shared" si="190"/>
        <v>rock</v>
      </c>
      <c r="S1642" s="9">
        <f t="shared" si="188"/>
        <v>40379.022627314815</v>
      </c>
      <c r="T1642" s="9">
        <f t="shared" si="191"/>
        <v>40392.874305555553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86"/>
        <v>1.014</v>
      </c>
      <c r="P1643">
        <f t="shared" si="187"/>
        <v>2517.5</v>
      </c>
      <c r="Q1643" t="str">
        <f>IF(N1643="music/pop","music")</f>
        <v>music</v>
      </c>
      <c r="R1643" t="str">
        <f>IF(N1643="music/pop","pop")</f>
        <v>pop</v>
      </c>
      <c r="S1643" s="9">
        <f t="shared" si="188"/>
        <v>41962.388240740744</v>
      </c>
      <c r="T1643" s="9">
        <f t="shared" si="191"/>
        <v>41992.388240740744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86"/>
        <v>1</v>
      </c>
      <c r="P1644">
        <f t="shared" si="187"/>
        <v>1200</v>
      </c>
      <c r="Q1644" t="str">
        <f t="shared" ref="Q1644:Q1682" si="192">IF(N1644="music/pop","music")</f>
        <v>music</v>
      </c>
      <c r="R1644" t="str">
        <f t="shared" ref="R1644:R1682" si="193">IF(N1644="music/pop","pop")</f>
        <v>pop</v>
      </c>
      <c r="S1644" s="9">
        <f t="shared" si="188"/>
        <v>40687.816284722219</v>
      </c>
      <c r="T1644" s="9">
        <f t="shared" si="191"/>
        <v>40707.816284722219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86"/>
        <v>1.2470000000000001</v>
      </c>
      <c r="P1645">
        <f t="shared" si="187"/>
        <v>5617.5</v>
      </c>
      <c r="Q1645" t="str">
        <f t="shared" si="192"/>
        <v>music</v>
      </c>
      <c r="R1645" t="str">
        <f t="shared" si="193"/>
        <v>pop</v>
      </c>
      <c r="S1645" s="9">
        <f t="shared" si="188"/>
        <v>41146.615879629629</v>
      </c>
      <c r="T1645" s="9">
        <f t="shared" si="191"/>
        <v>41176.615879629629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86"/>
        <v>1.095</v>
      </c>
      <c r="P1646">
        <f t="shared" si="187"/>
        <v>10475</v>
      </c>
      <c r="Q1646" t="str">
        <f t="shared" si="192"/>
        <v>music</v>
      </c>
      <c r="R1646" t="str">
        <f t="shared" si="193"/>
        <v>pop</v>
      </c>
      <c r="S1646" s="9">
        <f t="shared" si="188"/>
        <v>41174.851388888885</v>
      </c>
      <c r="T1646" s="9">
        <f t="shared" si="191"/>
        <v>41234.893055555549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86"/>
        <v>1.1080000000000001</v>
      </c>
      <c r="P1647">
        <f t="shared" si="187"/>
        <v>5270</v>
      </c>
      <c r="Q1647" t="str">
        <f t="shared" si="192"/>
        <v>music</v>
      </c>
      <c r="R1647" t="str">
        <f t="shared" si="193"/>
        <v>pop</v>
      </c>
      <c r="S1647" s="9">
        <f t="shared" si="188"/>
        <v>41521.40902777778</v>
      </c>
      <c r="T1647" s="9">
        <f t="shared" si="191"/>
        <v>41535.40902777778</v>
      </c>
    </row>
    <row r="1648" spans="1:20" ht="43.5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86"/>
        <v>1.1020000000000001</v>
      </c>
      <c r="P1648">
        <f t="shared" si="187"/>
        <v>2102</v>
      </c>
      <c r="Q1648" t="str">
        <f t="shared" si="192"/>
        <v>music</v>
      </c>
      <c r="R1648" t="str">
        <f t="shared" si="193"/>
        <v>pop</v>
      </c>
      <c r="S1648" s="9">
        <f t="shared" si="188"/>
        <v>41833.241932870369</v>
      </c>
      <c r="T1648" s="9">
        <f t="shared" si="191"/>
        <v>41865.549305555549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86"/>
        <v>1.0471999999999999</v>
      </c>
      <c r="P1649">
        <f t="shared" si="187"/>
        <v>5118</v>
      </c>
      <c r="Q1649" t="str">
        <f t="shared" si="192"/>
        <v>music</v>
      </c>
      <c r="R1649" t="str">
        <f t="shared" si="193"/>
        <v>pop</v>
      </c>
      <c r="S1649" s="9">
        <f t="shared" si="188"/>
        <v>41039.201122685183</v>
      </c>
      <c r="T1649" s="9">
        <f t="shared" si="191"/>
        <v>41069.201122685183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86"/>
        <v>1.2526086956521738</v>
      </c>
      <c r="P1650">
        <f t="shared" si="187"/>
        <v>2590.5</v>
      </c>
      <c r="Q1650" t="str">
        <f t="shared" si="192"/>
        <v>music</v>
      </c>
      <c r="R1650" t="str">
        <f t="shared" si="193"/>
        <v>pop</v>
      </c>
      <c r="S1650" s="9">
        <f t="shared" si="188"/>
        <v>40592.496319444443</v>
      </c>
      <c r="T1650" s="9">
        <f t="shared" si="191"/>
        <v>40622.454652777778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86"/>
        <v>1.0058763157894737</v>
      </c>
      <c r="P1651">
        <f t="shared" si="187"/>
        <v>3811.165</v>
      </c>
      <c r="Q1651" t="str">
        <f t="shared" si="192"/>
        <v>music</v>
      </c>
      <c r="R1651" t="str">
        <f t="shared" si="193"/>
        <v>pop</v>
      </c>
      <c r="S1651" s="9">
        <f t="shared" si="188"/>
        <v>41737.476331018515</v>
      </c>
      <c r="T1651" s="9">
        <f t="shared" si="191"/>
        <v>41782.476331018515</v>
      </c>
    </row>
    <row r="1652" spans="1:20" ht="29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86"/>
        <v>1.4155</v>
      </c>
      <c r="P1652">
        <f t="shared" si="187"/>
        <v>2415.5</v>
      </c>
      <c r="Q1652" t="str">
        <f t="shared" si="192"/>
        <v>music</v>
      </c>
      <c r="R1652" t="str">
        <f t="shared" si="193"/>
        <v>pop</v>
      </c>
      <c r="S1652" s="9">
        <f t="shared" si="188"/>
        <v>41526.227280092593</v>
      </c>
      <c r="T1652" s="9">
        <f t="shared" si="191"/>
        <v>41556.227280092593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86"/>
        <v>1.0075000000000001</v>
      </c>
      <c r="P1653">
        <f t="shared" si="187"/>
        <v>2007.5</v>
      </c>
      <c r="Q1653" t="str">
        <f t="shared" si="192"/>
        <v>music</v>
      </c>
      <c r="R1653" t="str">
        <f t="shared" si="193"/>
        <v>pop</v>
      </c>
      <c r="S1653" s="9">
        <f t="shared" si="188"/>
        <v>40625.692361111105</v>
      </c>
      <c r="T1653" s="9">
        <f t="shared" si="191"/>
        <v>40659.082638888889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86"/>
        <v>1.0066666666666666</v>
      </c>
      <c r="P1654">
        <f t="shared" si="187"/>
        <v>4515</v>
      </c>
      <c r="Q1654" t="str">
        <f t="shared" si="192"/>
        <v>music</v>
      </c>
      <c r="R1654" t="str">
        <f t="shared" si="193"/>
        <v>pop</v>
      </c>
      <c r="S1654" s="9">
        <f t="shared" si="188"/>
        <v>41572.284641203703</v>
      </c>
      <c r="T1654" s="9">
        <f t="shared" si="191"/>
        <v>41602.326307870368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86"/>
        <v>1.7423040000000001</v>
      </c>
      <c r="P1655">
        <f t="shared" si="187"/>
        <v>6855.76</v>
      </c>
      <c r="Q1655" t="str">
        <f t="shared" si="192"/>
        <v>music</v>
      </c>
      <c r="R1655" t="str">
        <f t="shared" si="193"/>
        <v>pop</v>
      </c>
      <c r="S1655" s="9">
        <f t="shared" si="188"/>
        <v>40626.626111111109</v>
      </c>
      <c r="T1655" s="9">
        <f t="shared" si="191"/>
        <v>40657.626111111109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86"/>
        <v>1.199090909090909</v>
      </c>
      <c r="P1656">
        <f t="shared" si="187"/>
        <v>1209.5</v>
      </c>
      <c r="Q1656" t="str">
        <f t="shared" si="192"/>
        <v>music</v>
      </c>
      <c r="R1656" t="str">
        <f t="shared" si="193"/>
        <v>pop</v>
      </c>
      <c r="S1656" s="9">
        <f t="shared" si="188"/>
        <v>40987.682407407403</v>
      </c>
      <c r="T1656" s="9">
        <f t="shared" si="191"/>
        <v>41017.682407407403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86"/>
        <v>1.4286666666666668</v>
      </c>
      <c r="P1657">
        <f t="shared" si="187"/>
        <v>1821.5</v>
      </c>
      <c r="Q1657" t="str">
        <f t="shared" si="192"/>
        <v>music</v>
      </c>
      <c r="R1657" t="str">
        <f t="shared" si="193"/>
        <v>pop</v>
      </c>
      <c r="S1657" s="9">
        <f t="shared" si="188"/>
        <v>40974.583564814813</v>
      </c>
      <c r="T1657" s="9">
        <f t="shared" si="191"/>
        <v>41004.541898148142</v>
      </c>
    </row>
    <row r="1658" spans="1:20" ht="43.5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86"/>
        <v>1.0033493333333334</v>
      </c>
      <c r="P1658">
        <f t="shared" si="187"/>
        <v>7512.5599999999995</v>
      </c>
      <c r="Q1658" t="str">
        <f t="shared" si="192"/>
        <v>music</v>
      </c>
      <c r="R1658" t="str">
        <f t="shared" si="193"/>
        <v>pop</v>
      </c>
      <c r="S1658" s="9">
        <f t="shared" si="188"/>
        <v>41226.720509259256</v>
      </c>
      <c r="T1658" s="9">
        <f t="shared" si="191"/>
        <v>41256.720509259256</v>
      </c>
    </row>
    <row r="1659" spans="1:20" ht="43.5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86"/>
        <v>1.0493380000000001</v>
      </c>
      <c r="P1659">
        <f t="shared" si="187"/>
        <v>25616.724999999999</v>
      </c>
      <c r="Q1659" t="str">
        <f t="shared" si="192"/>
        <v>music</v>
      </c>
      <c r="R1659" t="str">
        <f t="shared" si="193"/>
        <v>pop</v>
      </c>
      <c r="S1659" s="9">
        <f t="shared" si="188"/>
        <v>41023.573703703703</v>
      </c>
      <c r="T1659" s="9">
        <f t="shared" si="191"/>
        <v>41053.573703703703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86"/>
        <v>1.3223333333333334</v>
      </c>
      <c r="P1660">
        <f t="shared" si="187"/>
        <v>6967</v>
      </c>
      <c r="Q1660" t="str">
        <f t="shared" si="192"/>
        <v>music</v>
      </c>
      <c r="R1660" t="str">
        <f t="shared" si="193"/>
        <v>pop</v>
      </c>
      <c r="S1660" s="9">
        <f t="shared" si="188"/>
        <v>41223.013506944444</v>
      </c>
      <c r="T1660" s="9">
        <f t="shared" si="191"/>
        <v>41261.388888888883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86"/>
        <v>1.1279999999999999</v>
      </c>
      <c r="P1661">
        <f t="shared" si="187"/>
        <v>532</v>
      </c>
      <c r="Q1661" t="str">
        <f t="shared" si="192"/>
        <v>music</v>
      </c>
      <c r="R1661" t="str">
        <f t="shared" si="193"/>
        <v>pop</v>
      </c>
      <c r="S1661" s="9">
        <f t="shared" si="188"/>
        <v>41596.705104166664</v>
      </c>
      <c r="T1661" s="9">
        <f t="shared" si="191"/>
        <v>41625.291666666664</v>
      </c>
    </row>
    <row r="1662" spans="1:20" ht="43.5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86"/>
        <v>12.5375</v>
      </c>
      <c r="P1662">
        <f t="shared" si="187"/>
        <v>541.5</v>
      </c>
      <c r="Q1662" t="str">
        <f t="shared" si="192"/>
        <v>music</v>
      </c>
      <c r="R1662" t="str">
        <f t="shared" si="193"/>
        <v>pop</v>
      </c>
      <c r="S1662" s="9">
        <f t="shared" si="188"/>
        <v>42459.485532407409</v>
      </c>
      <c r="T1662" s="9">
        <f t="shared" si="191"/>
        <v>42490.707638888889</v>
      </c>
    </row>
    <row r="1663" spans="1:20" ht="43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86"/>
        <v>1.0250632911392406</v>
      </c>
      <c r="P1663">
        <f t="shared" si="187"/>
        <v>7999</v>
      </c>
      <c r="Q1663" t="str">
        <f t="shared" si="192"/>
        <v>music</v>
      </c>
      <c r="R1663" t="str">
        <f t="shared" si="193"/>
        <v>pop</v>
      </c>
      <c r="S1663" s="9">
        <f t="shared" si="188"/>
        <v>42343.789710648147</v>
      </c>
      <c r="T1663" s="9">
        <f t="shared" si="191"/>
        <v>42386.666666666664</v>
      </c>
    </row>
    <row r="1664" spans="1:20" ht="43.5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86"/>
        <v>1.026375</v>
      </c>
      <c r="P1664">
        <f t="shared" si="187"/>
        <v>8105.5</v>
      </c>
      <c r="Q1664" t="str">
        <f t="shared" si="192"/>
        <v>music</v>
      </c>
      <c r="R1664" t="str">
        <f t="shared" si="193"/>
        <v>pop</v>
      </c>
      <c r="S1664" s="9">
        <f t="shared" si="188"/>
        <v>40847.99</v>
      </c>
      <c r="T1664" s="9">
        <f t="shared" si="191"/>
        <v>40908.031666666662</v>
      </c>
    </row>
    <row r="1665" spans="1:20" ht="29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86"/>
        <v>1.08</v>
      </c>
      <c r="P1665">
        <f t="shared" si="187"/>
        <v>1040</v>
      </c>
      <c r="Q1665" t="str">
        <f t="shared" si="192"/>
        <v>music</v>
      </c>
      <c r="R1665" t="str">
        <f t="shared" si="193"/>
        <v>pop</v>
      </c>
      <c r="S1665" s="9">
        <f t="shared" si="188"/>
        <v>42005.813738425924</v>
      </c>
      <c r="T1665" s="9">
        <f t="shared" si="191"/>
        <v>42035.813738425924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86"/>
        <v>1.2240879999999998</v>
      </c>
      <c r="P1666">
        <f t="shared" si="187"/>
        <v>2780.1099999999997</v>
      </c>
      <c r="Q1666" t="str">
        <f t="shared" si="192"/>
        <v>music</v>
      </c>
      <c r="R1666" t="str">
        <f t="shared" si="193"/>
        <v>pop</v>
      </c>
      <c r="S1666" s="9">
        <f t="shared" si="188"/>
        <v>40939.553449074076</v>
      </c>
      <c r="T1666" s="9">
        <f t="shared" si="191"/>
        <v>40983.957638888889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94">E1667/D1667</f>
        <v>1.1945714285714286</v>
      </c>
      <c r="P1667">
        <f t="shared" ref="P1667:P1730" si="195">AVERAGE(D1667:E1667)</f>
        <v>3840.5</v>
      </c>
      <c r="Q1667" t="str">
        <f t="shared" si="192"/>
        <v>music</v>
      </c>
      <c r="R1667" t="str">
        <f t="shared" si="193"/>
        <v>pop</v>
      </c>
      <c r="S1667" s="9">
        <f t="shared" ref="S1667:S1730" si="196">J1667/86400+25569+(-5/24)</f>
        <v>40564.441122685181</v>
      </c>
      <c r="T1667" s="9">
        <f t="shared" si="191"/>
        <v>40595.916666666664</v>
      </c>
    </row>
    <row r="1668" spans="1:20" ht="29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94"/>
        <v>1.6088</v>
      </c>
      <c r="P1668">
        <f t="shared" si="195"/>
        <v>3261</v>
      </c>
      <c r="Q1668" t="str">
        <f t="shared" si="192"/>
        <v>music</v>
      </c>
      <c r="R1668" t="str">
        <f t="shared" si="193"/>
        <v>pop</v>
      </c>
      <c r="S1668" s="9">
        <f t="shared" si="196"/>
        <v>41331.04482638889</v>
      </c>
      <c r="T1668" s="9">
        <f t="shared" ref="T1668:T1731" si="197">I1668/86400+25569+(-5/24)</f>
        <v>41361.003159722219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94"/>
        <v>1.2685294117647059</v>
      </c>
      <c r="P1669">
        <f t="shared" si="195"/>
        <v>3856.5</v>
      </c>
      <c r="Q1669" t="str">
        <f t="shared" si="192"/>
        <v>music</v>
      </c>
      <c r="R1669" t="str">
        <f t="shared" si="193"/>
        <v>pop</v>
      </c>
      <c r="S1669" s="9">
        <f t="shared" si="196"/>
        <v>41681.862245370365</v>
      </c>
      <c r="T1669" s="9">
        <f t="shared" si="197"/>
        <v>41709.082638888889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94"/>
        <v>1.026375</v>
      </c>
      <c r="P1670">
        <f t="shared" si="195"/>
        <v>8105.5</v>
      </c>
      <c r="Q1670" t="str">
        <f t="shared" si="192"/>
        <v>music</v>
      </c>
      <c r="R1670" t="str">
        <f t="shared" si="193"/>
        <v>pop</v>
      </c>
      <c r="S1670" s="9">
        <f t="shared" si="196"/>
        <v>40844.941423611112</v>
      </c>
      <c r="T1670" s="9">
        <f t="shared" si="197"/>
        <v>40874.983090277776</v>
      </c>
    </row>
    <row r="1671" spans="1:20" ht="43.5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94"/>
        <v>1.3975</v>
      </c>
      <c r="P1671">
        <f t="shared" si="195"/>
        <v>2397.5</v>
      </c>
      <c r="Q1671" t="str">
        <f t="shared" si="192"/>
        <v>music</v>
      </c>
      <c r="R1671" t="str">
        <f t="shared" si="193"/>
        <v>pop</v>
      </c>
      <c r="S1671" s="9">
        <f t="shared" si="196"/>
        <v>42461.676805555551</v>
      </c>
      <c r="T1671" s="9">
        <f t="shared" si="197"/>
        <v>42521.676805555551</v>
      </c>
    </row>
    <row r="1672" spans="1:20" ht="43.5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94"/>
        <v>1.026</v>
      </c>
      <c r="P1672">
        <f t="shared" si="195"/>
        <v>1013</v>
      </c>
      <c r="Q1672" t="str">
        <f t="shared" si="192"/>
        <v>music</v>
      </c>
      <c r="R1672" t="str">
        <f t="shared" si="193"/>
        <v>pop</v>
      </c>
      <c r="S1672" s="9">
        <f t="shared" si="196"/>
        <v>40313.722210648142</v>
      </c>
      <c r="T1672" s="9">
        <f t="shared" si="197"/>
        <v>40363.958333333328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94"/>
        <v>1.0067349999999999</v>
      </c>
      <c r="P1673">
        <f t="shared" si="195"/>
        <v>2006.7350000000001</v>
      </c>
      <c r="Q1673" t="str">
        <f t="shared" si="192"/>
        <v>music</v>
      </c>
      <c r="R1673" t="str">
        <f t="shared" si="193"/>
        <v>pop</v>
      </c>
      <c r="S1673" s="9">
        <f t="shared" si="196"/>
        <v>42553.335810185185</v>
      </c>
      <c r="T1673" s="9">
        <f t="shared" si="197"/>
        <v>42583.335810185185</v>
      </c>
    </row>
    <row r="1674" spans="1:20" ht="29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94"/>
        <v>1.1294117647058823</v>
      </c>
      <c r="P1674">
        <f t="shared" si="195"/>
        <v>1810</v>
      </c>
      <c r="Q1674" t="str">
        <f t="shared" si="192"/>
        <v>music</v>
      </c>
      <c r="R1674" t="str">
        <f t="shared" si="193"/>
        <v>pop</v>
      </c>
      <c r="S1674" s="9">
        <f t="shared" si="196"/>
        <v>41034.448263888888</v>
      </c>
      <c r="T1674" s="9">
        <f t="shared" si="197"/>
        <v>41064.448263888888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94"/>
        <v>1.2809523809523808</v>
      </c>
      <c r="P1675">
        <f t="shared" si="195"/>
        <v>2395</v>
      </c>
      <c r="Q1675" t="str">
        <f t="shared" si="192"/>
        <v>music</v>
      </c>
      <c r="R1675" t="str">
        <f t="shared" si="193"/>
        <v>pop</v>
      </c>
      <c r="S1675" s="9">
        <f t="shared" si="196"/>
        <v>42039.670046296298</v>
      </c>
      <c r="T1675" s="9">
        <f t="shared" si="197"/>
        <v>42069.670046296298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94"/>
        <v>2.0169999999999999</v>
      </c>
      <c r="P1676">
        <f t="shared" si="195"/>
        <v>7542.5</v>
      </c>
      <c r="Q1676" t="str">
        <f t="shared" si="192"/>
        <v>music</v>
      </c>
      <c r="R1676" t="str">
        <f t="shared" si="193"/>
        <v>pop</v>
      </c>
      <c r="S1676" s="9">
        <f t="shared" si="196"/>
        <v>42569.397060185183</v>
      </c>
      <c r="T1676" s="9">
        <f t="shared" si="197"/>
        <v>42600.082638888889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94"/>
        <v>1.37416</v>
      </c>
      <c r="P1677">
        <f t="shared" si="195"/>
        <v>1187.08</v>
      </c>
      <c r="Q1677" t="str">
        <f t="shared" si="192"/>
        <v>music</v>
      </c>
      <c r="R1677" t="str">
        <f t="shared" si="193"/>
        <v>pop</v>
      </c>
      <c r="S1677" s="9">
        <f t="shared" si="196"/>
        <v>40802.524768518517</v>
      </c>
      <c r="T1677" s="9">
        <f t="shared" si="197"/>
        <v>40832.710416666661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94"/>
        <v>1.1533333333333333</v>
      </c>
      <c r="P1678">
        <f t="shared" si="195"/>
        <v>3230</v>
      </c>
      <c r="Q1678" t="str">
        <f t="shared" si="192"/>
        <v>music</v>
      </c>
      <c r="R1678" t="str">
        <f t="shared" si="193"/>
        <v>pop</v>
      </c>
      <c r="S1678" s="9">
        <f t="shared" si="196"/>
        <v>40973.517905092587</v>
      </c>
      <c r="T1678" s="9">
        <f t="shared" si="197"/>
        <v>41019.957638888889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94"/>
        <v>1.1166666666666667</v>
      </c>
      <c r="P1679">
        <f t="shared" si="195"/>
        <v>6350</v>
      </c>
      <c r="Q1679" t="str">
        <f t="shared" si="192"/>
        <v>music</v>
      </c>
      <c r="R1679" t="str">
        <f t="shared" si="193"/>
        <v>pop</v>
      </c>
      <c r="S1679" s="9">
        <f t="shared" si="196"/>
        <v>42416.198796296296</v>
      </c>
      <c r="T1679" s="9">
        <f t="shared" si="197"/>
        <v>42476.040972222218</v>
      </c>
    </row>
    <row r="1680" spans="1:20" ht="29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94"/>
        <v>1.1839999999999999</v>
      </c>
      <c r="P1680">
        <f t="shared" si="195"/>
        <v>1638</v>
      </c>
      <c r="Q1680" t="str">
        <f t="shared" si="192"/>
        <v>music</v>
      </c>
      <c r="R1680" t="str">
        <f t="shared" si="193"/>
        <v>pop</v>
      </c>
      <c r="S1680" s="9">
        <f t="shared" si="196"/>
        <v>41662.646655092591</v>
      </c>
      <c r="T1680" s="9">
        <f t="shared" si="197"/>
        <v>41676.646655092591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94"/>
        <v>1.75</v>
      </c>
      <c r="P1681">
        <f t="shared" si="195"/>
        <v>2750</v>
      </c>
      <c r="Q1681" t="str">
        <f t="shared" si="192"/>
        <v>music</v>
      </c>
      <c r="R1681" t="str">
        <f t="shared" si="193"/>
        <v>pop</v>
      </c>
      <c r="S1681" s="9">
        <f t="shared" si="196"/>
        <v>40722.860474537032</v>
      </c>
      <c r="T1681" s="9">
        <f t="shared" si="197"/>
        <v>40745.860474537032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94"/>
        <v>1.175</v>
      </c>
      <c r="P1682">
        <f t="shared" si="195"/>
        <v>1087.5</v>
      </c>
      <c r="Q1682" t="str">
        <f t="shared" si="192"/>
        <v>music</v>
      </c>
      <c r="R1682" t="str">
        <f t="shared" si="193"/>
        <v>pop</v>
      </c>
      <c r="S1682" s="9">
        <f t="shared" si="196"/>
        <v>41802.549386574072</v>
      </c>
      <c r="T1682" s="9">
        <f t="shared" si="197"/>
        <v>41832.549386574072</v>
      </c>
    </row>
    <row r="1683" spans="1:20" ht="43.5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94"/>
        <v>1.0142212307692309</v>
      </c>
      <c r="P1683">
        <f t="shared" si="195"/>
        <v>65462.19</v>
      </c>
      <c r="Q1683" t="str">
        <f>IF(N1683="music/faith","music")</f>
        <v>music</v>
      </c>
      <c r="R1683" t="str">
        <f>IF(N1683="music/faith","faith")</f>
        <v>faith</v>
      </c>
      <c r="S1683" s="9">
        <f t="shared" si="196"/>
        <v>42773.91300925926</v>
      </c>
      <c r="T1683" s="9">
        <f t="shared" si="197"/>
        <v>42822.874999999993</v>
      </c>
    </row>
    <row r="1684" spans="1:20" ht="29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94"/>
        <v>0</v>
      </c>
      <c r="P1684">
        <f t="shared" si="195"/>
        <v>3000</v>
      </c>
      <c r="Q1684" t="str">
        <f t="shared" ref="Q1684:Q1742" si="198">IF(N1684="music/faith","music")</f>
        <v>music</v>
      </c>
      <c r="R1684" t="str">
        <f t="shared" ref="R1684:R1742" si="199">IF(N1684="music/faith","faith")</f>
        <v>faith</v>
      </c>
      <c r="S1684" s="9">
        <f t="shared" si="196"/>
        <v>42779.005324074074</v>
      </c>
      <c r="T1684" s="9">
        <f t="shared" si="197"/>
        <v>42838.963657407403</v>
      </c>
    </row>
    <row r="1685" spans="1:20" ht="29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94"/>
        <v>0.21714285714285714</v>
      </c>
      <c r="P1685">
        <f t="shared" si="195"/>
        <v>2130</v>
      </c>
      <c r="Q1685" t="str">
        <f t="shared" si="198"/>
        <v>music</v>
      </c>
      <c r="R1685" t="str">
        <f t="shared" si="199"/>
        <v>faith</v>
      </c>
      <c r="S1685" s="9">
        <f t="shared" si="196"/>
        <v>42808.57335648148</v>
      </c>
      <c r="T1685" s="9">
        <f t="shared" si="197"/>
        <v>42832.57335648148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94"/>
        <v>1.0912500000000001</v>
      </c>
      <c r="P1686">
        <f t="shared" si="195"/>
        <v>8365</v>
      </c>
      <c r="Q1686" t="str">
        <f t="shared" si="198"/>
        <v>music</v>
      </c>
      <c r="R1686" t="str">
        <f t="shared" si="199"/>
        <v>faith</v>
      </c>
      <c r="S1686" s="9">
        <f t="shared" si="196"/>
        <v>42783.606956018521</v>
      </c>
      <c r="T1686" s="9">
        <f t="shared" si="197"/>
        <v>42811.565289351849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94"/>
        <v>1.0285714285714285</v>
      </c>
      <c r="P1687">
        <f t="shared" si="195"/>
        <v>355</v>
      </c>
      <c r="Q1687" t="str">
        <f t="shared" si="198"/>
        <v>music</v>
      </c>
      <c r="R1687" t="str">
        <f t="shared" si="199"/>
        <v>faith</v>
      </c>
      <c r="S1687" s="9">
        <f t="shared" si="196"/>
        <v>42788.041932870365</v>
      </c>
      <c r="T1687" s="9">
        <f t="shared" si="197"/>
        <v>42818.0002662037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94"/>
        <v>3.5999999999999999E-3</v>
      </c>
      <c r="P1688">
        <f t="shared" si="195"/>
        <v>2509</v>
      </c>
      <c r="Q1688" t="str">
        <f t="shared" si="198"/>
        <v>music</v>
      </c>
      <c r="R1688" t="str">
        <f t="shared" si="199"/>
        <v>faith</v>
      </c>
      <c r="S1688" s="9">
        <f t="shared" si="196"/>
        <v>42792.635636574072</v>
      </c>
      <c r="T1688" s="9">
        <f t="shared" si="197"/>
        <v>42852.593969907401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94"/>
        <v>0.3125</v>
      </c>
      <c r="P1689">
        <f t="shared" si="195"/>
        <v>6562.5</v>
      </c>
      <c r="Q1689" t="str">
        <f t="shared" si="198"/>
        <v>music</v>
      </c>
      <c r="R1689" t="str">
        <f t="shared" si="199"/>
        <v>faith</v>
      </c>
      <c r="S1689" s="9">
        <f t="shared" si="196"/>
        <v>42801.838483796295</v>
      </c>
      <c r="T1689" s="9">
        <f t="shared" si="197"/>
        <v>42835.635416666664</v>
      </c>
    </row>
    <row r="1690" spans="1:20" ht="43.5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94"/>
        <v>0.443</v>
      </c>
      <c r="P1690">
        <f t="shared" si="195"/>
        <v>2886</v>
      </c>
      <c r="Q1690" t="str">
        <f t="shared" si="198"/>
        <v>music</v>
      </c>
      <c r="R1690" t="str">
        <f t="shared" si="199"/>
        <v>faith</v>
      </c>
      <c r="S1690" s="9">
        <f t="shared" si="196"/>
        <v>42804.326319444437</v>
      </c>
      <c r="T1690" s="9">
        <f t="shared" si="197"/>
        <v>42834.28465277778</v>
      </c>
    </row>
    <row r="1691" spans="1:20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94"/>
        <v>1</v>
      </c>
      <c r="P1691">
        <f t="shared" si="195"/>
        <v>2400</v>
      </c>
      <c r="Q1691" t="str">
        <f t="shared" si="198"/>
        <v>music</v>
      </c>
      <c r="R1691" t="str">
        <f t="shared" si="199"/>
        <v>faith</v>
      </c>
      <c r="S1691" s="9">
        <f t="shared" si="196"/>
        <v>42780.734143518515</v>
      </c>
      <c r="T1691" s="9">
        <f t="shared" si="197"/>
        <v>42810.692476851851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94"/>
        <v>0.254</v>
      </c>
      <c r="P1692">
        <f t="shared" si="195"/>
        <v>1567.5</v>
      </c>
      <c r="Q1692" t="str">
        <f t="shared" si="198"/>
        <v>music</v>
      </c>
      <c r="R1692" t="str">
        <f t="shared" si="199"/>
        <v>faith</v>
      </c>
      <c r="S1692" s="9">
        <f t="shared" si="196"/>
        <v>42801.222708333335</v>
      </c>
      <c r="T1692" s="9">
        <f t="shared" si="197"/>
        <v>42831.181041666663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94"/>
        <v>0.33473333333333333</v>
      </c>
      <c r="P1693">
        <f t="shared" si="195"/>
        <v>20021</v>
      </c>
      <c r="Q1693" t="str">
        <f t="shared" si="198"/>
        <v>music</v>
      </c>
      <c r="R1693" t="str">
        <f t="shared" si="199"/>
        <v>faith</v>
      </c>
      <c r="S1693" s="9">
        <f t="shared" si="196"/>
        <v>42795.493148148147</v>
      </c>
      <c r="T1693" s="9">
        <f t="shared" si="197"/>
        <v>42827.833333333336</v>
      </c>
    </row>
    <row r="1694" spans="1:20" ht="29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94"/>
        <v>0.47799999999999998</v>
      </c>
      <c r="P1694">
        <f t="shared" si="195"/>
        <v>3695</v>
      </c>
      <c r="Q1694" t="str">
        <f t="shared" si="198"/>
        <v>music</v>
      </c>
      <c r="R1694" t="str">
        <f t="shared" si="199"/>
        <v>faith</v>
      </c>
      <c r="S1694" s="9">
        <f t="shared" si="196"/>
        <v>42787.94290509259</v>
      </c>
      <c r="T1694" s="9">
        <f t="shared" si="197"/>
        <v>42820.790972222218</v>
      </c>
    </row>
    <row r="1695" spans="1:20" ht="43.5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94"/>
        <v>9.3333333333333338E-2</v>
      </c>
      <c r="P1695">
        <f t="shared" si="195"/>
        <v>1640</v>
      </c>
      <c r="Q1695" t="str">
        <f t="shared" si="198"/>
        <v>music</v>
      </c>
      <c r="R1695" t="str">
        <f t="shared" si="199"/>
        <v>faith</v>
      </c>
      <c r="S1695" s="9">
        <f t="shared" si="196"/>
        <v>42803.711944444447</v>
      </c>
      <c r="T1695" s="9">
        <f t="shared" si="197"/>
        <v>42834.624999999993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94"/>
        <v>5.0000000000000001E-4</v>
      </c>
      <c r="P1696">
        <f t="shared" si="195"/>
        <v>5002.5</v>
      </c>
      <c r="Q1696" t="str">
        <f t="shared" si="198"/>
        <v>music</v>
      </c>
      <c r="R1696" t="str">
        <f t="shared" si="199"/>
        <v>faith</v>
      </c>
      <c r="S1696" s="9">
        <f t="shared" si="196"/>
        <v>42791.461504629631</v>
      </c>
      <c r="T1696" s="9">
        <f t="shared" si="197"/>
        <v>42820.98333333333</v>
      </c>
    </row>
    <row r="1697" spans="1:20" ht="43.5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94"/>
        <v>0.11708333333333333</v>
      </c>
      <c r="P1697">
        <f t="shared" si="195"/>
        <v>6702.5</v>
      </c>
      <c r="Q1697" t="str">
        <f t="shared" si="198"/>
        <v>music</v>
      </c>
      <c r="R1697" t="str">
        <f t="shared" si="199"/>
        <v>faith</v>
      </c>
      <c r="S1697" s="9">
        <f t="shared" si="196"/>
        <v>42800.823078703703</v>
      </c>
      <c r="T1697" s="9">
        <f t="shared" si="197"/>
        <v>42834.833333333336</v>
      </c>
    </row>
    <row r="1698" spans="1:20" ht="43.5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94"/>
        <v>0</v>
      </c>
      <c r="P1698">
        <f t="shared" si="195"/>
        <v>150000</v>
      </c>
      <c r="Q1698" t="str">
        <f t="shared" si="198"/>
        <v>music</v>
      </c>
      <c r="R1698" t="str">
        <f t="shared" si="199"/>
        <v>faith</v>
      </c>
      <c r="S1698" s="9">
        <f t="shared" si="196"/>
        <v>42795.861238425925</v>
      </c>
      <c r="T1698" s="9">
        <f t="shared" si="197"/>
        <v>42825.819571759253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94"/>
        <v>0.20208000000000001</v>
      </c>
      <c r="P1699">
        <f t="shared" si="195"/>
        <v>7513</v>
      </c>
      <c r="Q1699" t="str">
        <f t="shared" si="198"/>
        <v>music</v>
      </c>
      <c r="R1699" t="str">
        <f t="shared" si="199"/>
        <v>faith</v>
      </c>
      <c r="S1699" s="9">
        <f t="shared" si="196"/>
        <v>42804.824629629627</v>
      </c>
      <c r="T1699" s="9">
        <f t="shared" si="197"/>
        <v>42834.782962962963</v>
      </c>
    </row>
    <row r="1700" spans="1:20" ht="43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94"/>
        <v>0</v>
      </c>
      <c r="P1700">
        <f t="shared" si="195"/>
        <v>62500</v>
      </c>
      <c r="Q1700" t="str">
        <f t="shared" si="198"/>
        <v>music</v>
      </c>
      <c r="R1700" t="str">
        <f t="shared" si="199"/>
        <v>faith</v>
      </c>
      <c r="S1700" s="9">
        <f t="shared" si="196"/>
        <v>42795.999537037038</v>
      </c>
      <c r="T1700" s="9">
        <f t="shared" si="197"/>
        <v>42819.939583333333</v>
      </c>
    </row>
    <row r="1701" spans="1:20" ht="43.5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94"/>
        <v>4.2311459353574929E-2</v>
      </c>
      <c r="P1701">
        <f t="shared" si="195"/>
        <v>2660.5</v>
      </c>
      <c r="Q1701" t="str">
        <f t="shared" si="198"/>
        <v>music</v>
      </c>
      <c r="R1701" t="str">
        <f t="shared" si="199"/>
        <v>faith</v>
      </c>
      <c r="S1701" s="9">
        <f t="shared" si="196"/>
        <v>42806.655613425923</v>
      </c>
      <c r="T1701" s="9">
        <f t="shared" si="197"/>
        <v>42836.655613425923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94"/>
        <v>0.2606</v>
      </c>
      <c r="P1702">
        <f t="shared" si="195"/>
        <v>12606</v>
      </c>
      <c r="Q1702" t="str">
        <f t="shared" si="198"/>
        <v>music</v>
      </c>
      <c r="R1702" t="str">
        <f t="shared" si="199"/>
        <v>faith</v>
      </c>
      <c r="S1702" s="9">
        <f t="shared" si="196"/>
        <v>42795.863310185181</v>
      </c>
      <c r="T1702" s="9">
        <f t="shared" si="197"/>
        <v>42825.958333333336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94"/>
        <v>1.9801980198019802E-3</v>
      </c>
      <c r="P1703">
        <f t="shared" si="195"/>
        <v>2530</v>
      </c>
      <c r="Q1703" t="str">
        <f t="shared" si="198"/>
        <v>music</v>
      </c>
      <c r="R1703" t="str">
        <f t="shared" si="199"/>
        <v>faith</v>
      </c>
      <c r="S1703" s="9">
        <f t="shared" si="196"/>
        <v>41989.456076388888</v>
      </c>
      <c r="T1703" s="9">
        <f t="shared" si="197"/>
        <v>42019.456076388888</v>
      </c>
    </row>
    <row r="1704" spans="1:20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94"/>
        <v>6.0606060606060605E-5</v>
      </c>
      <c r="P1704">
        <f t="shared" si="195"/>
        <v>8250.5</v>
      </c>
      <c r="Q1704" t="str">
        <f t="shared" si="198"/>
        <v>music</v>
      </c>
      <c r="R1704" t="str">
        <f t="shared" si="199"/>
        <v>faith</v>
      </c>
      <c r="S1704" s="9">
        <f t="shared" si="196"/>
        <v>42063.661458333336</v>
      </c>
      <c r="T1704" s="9">
        <f t="shared" si="197"/>
        <v>42093.619791666664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94"/>
        <v>1.0200000000000001E-2</v>
      </c>
      <c r="P1705">
        <f t="shared" si="195"/>
        <v>2525.5</v>
      </c>
      <c r="Q1705" t="str">
        <f t="shared" si="198"/>
        <v>music</v>
      </c>
      <c r="R1705" t="str">
        <f t="shared" si="199"/>
        <v>faith</v>
      </c>
      <c r="S1705" s="9">
        <f t="shared" si="196"/>
        <v>42187.073344907403</v>
      </c>
      <c r="T1705" s="9">
        <f t="shared" si="197"/>
        <v>42247.073344907403</v>
      </c>
    </row>
    <row r="1706" spans="1:20" ht="29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94"/>
        <v>0.65100000000000002</v>
      </c>
      <c r="P1706">
        <f t="shared" si="195"/>
        <v>1651</v>
      </c>
      <c r="Q1706" t="str">
        <f t="shared" si="198"/>
        <v>music</v>
      </c>
      <c r="R1706" t="str">
        <f t="shared" si="199"/>
        <v>faith</v>
      </c>
      <c r="S1706" s="9">
        <f t="shared" si="196"/>
        <v>42020.931400462963</v>
      </c>
      <c r="T1706" s="9">
        <f t="shared" si="197"/>
        <v>42050.931400462963</v>
      </c>
    </row>
    <row r="1707" spans="1:20" ht="29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94"/>
        <v>0</v>
      </c>
      <c r="P1707">
        <f t="shared" si="195"/>
        <v>1000</v>
      </c>
      <c r="Q1707" t="str">
        <f t="shared" si="198"/>
        <v>music</v>
      </c>
      <c r="R1707" t="str">
        <f t="shared" si="199"/>
        <v>faith</v>
      </c>
      <c r="S1707" s="9">
        <f t="shared" si="196"/>
        <v>42244.808402777773</v>
      </c>
      <c r="T1707" s="9">
        <f t="shared" si="197"/>
        <v>42256.458333333336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94"/>
        <v>0</v>
      </c>
      <c r="P1708">
        <f t="shared" si="195"/>
        <v>2750</v>
      </c>
      <c r="Q1708" t="str">
        <f t="shared" si="198"/>
        <v>music</v>
      </c>
      <c r="R1708" t="str">
        <f t="shared" si="199"/>
        <v>faith</v>
      </c>
      <c r="S1708" s="9">
        <f t="shared" si="196"/>
        <v>42179.098055555551</v>
      </c>
      <c r="T1708" s="9">
        <f t="shared" si="197"/>
        <v>42239.098055555551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94"/>
        <v>9.74E-2</v>
      </c>
      <c r="P1709">
        <f t="shared" si="195"/>
        <v>2743.5</v>
      </c>
      <c r="Q1709" t="str">
        <f t="shared" si="198"/>
        <v>music</v>
      </c>
      <c r="R1709" t="str">
        <f t="shared" si="199"/>
        <v>faith</v>
      </c>
      <c r="S1709" s="9">
        <f t="shared" si="196"/>
        <v>42427.512673611105</v>
      </c>
      <c r="T1709" s="9">
        <f t="shared" si="197"/>
        <v>42457.471006944441</v>
      </c>
    </row>
    <row r="1710" spans="1:20" ht="43.5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94"/>
        <v>0</v>
      </c>
      <c r="P1710">
        <f t="shared" si="195"/>
        <v>3500</v>
      </c>
      <c r="Q1710" t="str">
        <f t="shared" si="198"/>
        <v>music</v>
      </c>
      <c r="R1710" t="str">
        <f t="shared" si="199"/>
        <v>faith</v>
      </c>
      <c r="S1710" s="9">
        <f t="shared" si="196"/>
        <v>42451.658634259256</v>
      </c>
      <c r="T1710" s="9">
        <f t="shared" si="197"/>
        <v>42491.658634259256</v>
      </c>
    </row>
    <row r="1711" spans="1:20" ht="29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94"/>
        <v>4.8571428571428571E-2</v>
      </c>
      <c r="P1711">
        <f t="shared" si="195"/>
        <v>917.5</v>
      </c>
      <c r="Q1711" t="str">
        <f t="shared" si="198"/>
        <v>music</v>
      </c>
      <c r="R1711" t="str">
        <f t="shared" si="199"/>
        <v>faith</v>
      </c>
      <c r="S1711" s="9">
        <f t="shared" si="196"/>
        <v>41841.355486111112</v>
      </c>
      <c r="T1711" s="9">
        <f t="shared" si="197"/>
        <v>41882.610416666663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94"/>
        <v>6.7999999999999996E-3</v>
      </c>
      <c r="P1712">
        <f t="shared" si="195"/>
        <v>2517</v>
      </c>
      <c r="Q1712" t="str">
        <f t="shared" si="198"/>
        <v>music</v>
      </c>
      <c r="R1712" t="str">
        <f t="shared" si="199"/>
        <v>faith</v>
      </c>
      <c r="S1712" s="9">
        <f t="shared" si="196"/>
        <v>42341.382962962962</v>
      </c>
      <c r="T1712" s="9">
        <f t="shared" si="197"/>
        <v>42387.333333333336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94"/>
        <v>0.105</v>
      </c>
      <c r="P1713">
        <f t="shared" si="195"/>
        <v>5525</v>
      </c>
      <c r="Q1713" t="str">
        <f t="shared" si="198"/>
        <v>music</v>
      </c>
      <c r="R1713" t="str">
        <f t="shared" si="199"/>
        <v>faith</v>
      </c>
      <c r="S1713" s="9">
        <f t="shared" si="196"/>
        <v>41852.437893518516</v>
      </c>
      <c r="T1713" s="9">
        <f t="shared" si="197"/>
        <v>41883.437893518516</v>
      </c>
    </row>
    <row r="1714" spans="1:20" ht="43.5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94"/>
        <v>0</v>
      </c>
      <c r="P1714">
        <f t="shared" si="195"/>
        <v>2500</v>
      </c>
      <c r="Q1714" t="str">
        <f t="shared" si="198"/>
        <v>music</v>
      </c>
      <c r="R1714" t="str">
        <f t="shared" si="199"/>
        <v>faith</v>
      </c>
      <c r="S1714" s="9">
        <f t="shared" si="196"/>
        <v>42125.705474537033</v>
      </c>
      <c r="T1714" s="9">
        <f t="shared" si="197"/>
        <v>42185.705474537033</v>
      </c>
    </row>
    <row r="1715" spans="1:20" ht="43.5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94"/>
        <v>1.6666666666666666E-2</v>
      </c>
      <c r="P1715">
        <f t="shared" si="195"/>
        <v>1525</v>
      </c>
      <c r="Q1715" t="str">
        <f t="shared" si="198"/>
        <v>music</v>
      </c>
      <c r="R1715" t="str">
        <f t="shared" si="199"/>
        <v>faith</v>
      </c>
      <c r="S1715" s="9">
        <f t="shared" si="196"/>
        <v>41887.592731481483</v>
      </c>
      <c r="T1715" s="9">
        <f t="shared" si="197"/>
        <v>41917.592731481483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94"/>
        <v>7.868E-2</v>
      </c>
      <c r="P1716">
        <f t="shared" si="195"/>
        <v>13483.5</v>
      </c>
      <c r="Q1716" t="str">
        <f t="shared" si="198"/>
        <v>music</v>
      </c>
      <c r="R1716" t="str">
        <f t="shared" si="199"/>
        <v>faith</v>
      </c>
      <c r="S1716" s="9">
        <f t="shared" si="196"/>
        <v>42095.710196759253</v>
      </c>
      <c r="T1716" s="9">
        <f t="shared" si="197"/>
        <v>42125.710196759253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94"/>
        <v>2.2000000000000001E-3</v>
      </c>
      <c r="P1717">
        <f t="shared" si="195"/>
        <v>2505.5</v>
      </c>
      <c r="Q1717" t="str">
        <f t="shared" si="198"/>
        <v>music</v>
      </c>
      <c r="R1717" t="str">
        <f t="shared" si="199"/>
        <v>faith</v>
      </c>
      <c r="S1717" s="9">
        <f t="shared" si="196"/>
        <v>42064.009085648147</v>
      </c>
      <c r="T1717" s="9">
        <f t="shared" si="197"/>
        <v>42093.931944444441</v>
      </c>
    </row>
    <row r="1718" spans="1:20" ht="43.5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94"/>
        <v>7.4999999999999997E-2</v>
      </c>
      <c r="P1718">
        <f t="shared" si="195"/>
        <v>1075</v>
      </c>
      <c r="Q1718" t="str">
        <f t="shared" si="198"/>
        <v>music</v>
      </c>
      <c r="R1718" t="str">
        <f t="shared" si="199"/>
        <v>faith</v>
      </c>
      <c r="S1718" s="9">
        <f t="shared" si="196"/>
        <v>42673.369201388887</v>
      </c>
      <c r="T1718" s="9">
        <f t="shared" si="197"/>
        <v>42713.410868055558</v>
      </c>
    </row>
    <row r="1719" spans="1:20" ht="29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94"/>
        <v>0.42725880551301687</v>
      </c>
      <c r="P1719">
        <f t="shared" si="195"/>
        <v>2330</v>
      </c>
      <c r="Q1719" t="str">
        <f t="shared" si="198"/>
        <v>music</v>
      </c>
      <c r="R1719" t="str">
        <f t="shared" si="199"/>
        <v>faith</v>
      </c>
      <c r="S1719" s="9">
        <f t="shared" si="196"/>
        <v>42460.773587962962</v>
      </c>
      <c r="T1719" s="9">
        <f t="shared" si="197"/>
        <v>42480.958333333336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94"/>
        <v>2.142857142857143E-3</v>
      </c>
      <c r="P1720">
        <f t="shared" si="195"/>
        <v>17537.5</v>
      </c>
      <c r="Q1720" t="str">
        <f t="shared" si="198"/>
        <v>music</v>
      </c>
      <c r="R1720" t="str">
        <f t="shared" si="199"/>
        <v>faith</v>
      </c>
      <c r="S1720" s="9">
        <f t="shared" si="196"/>
        <v>42460.402187499996</v>
      </c>
      <c r="T1720" s="9">
        <f t="shared" si="197"/>
        <v>42503.999305555553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94"/>
        <v>8.7500000000000008E-3</v>
      </c>
      <c r="P1721">
        <f t="shared" si="195"/>
        <v>2017.5</v>
      </c>
      <c r="Q1721" t="str">
        <f t="shared" si="198"/>
        <v>music</v>
      </c>
      <c r="R1721" t="str">
        <f t="shared" si="199"/>
        <v>faith</v>
      </c>
      <c r="S1721" s="9">
        <f t="shared" si="196"/>
        <v>41869.326284722221</v>
      </c>
      <c r="T1721" s="9">
        <f t="shared" si="197"/>
        <v>41899.326284722221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94"/>
        <v>5.6250000000000001E-2</v>
      </c>
      <c r="P1722">
        <f t="shared" si="195"/>
        <v>2112.5</v>
      </c>
      <c r="Q1722" t="str">
        <f t="shared" si="198"/>
        <v>music</v>
      </c>
      <c r="R1722" t="str">
        <f t="shared" si="199"/>
        <v>faith</v>
      </c>
      <c r="S1722" s="9">
        <f t="shared" si="196"/>
        <v>41922.574895833335</v>
      </c>
      <c r="T1722" s="9">
        <f t="shared" si="197"/>
        <v>41952.616562499999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94"/>
        <v>0</v>
      </c>
      <c r="P1723">
        <f t="shared" si="195"/>
        <v>2500</v>
      </c>
      <c r="Q1723" t="str">
        <f t="shared" si="198"/>
        <v>music</v>
      </c>
      <c r="R1723" t="str">
        <f t="shared" si="199"/>
        <v>faith</v>
      </c>
      <c r="S1723" s="9">
        <f t="shared" si="196"/>
        <v>42319.25304398148</v>
      </c>
      <c r="T1723" s="9">
        <f t="shared" si="197"/>
        <v>42349.25304398148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94"/>
        <v>3.4722222222222224E-4</v>
      </c>
      <c r="P1724">
        <f t="shared" si="195"/>
        <v>1440.5</v>
      </c>
      <c r="Q1724" t="str">
        <f t="shared" si="198"/>
        <v>music</v>
      </c>
      <c r="R1724" t="str">
        <f t="shared" si="199"/>
        <v>faith</v>
      </c>
      <c r="S1724" s="9">
        <f t="shared" si="196"/>
        <v>42425.752650462957</v>
      </c>
      <c r="T1724" s="9">
        <f t="shared" si="197"/>
        <v>42462.798611111109</v>
      </c>
    </row>
    <row r="1725" spans="1:20" ht="43.5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94"/>
        <v>6.5000000000000002E-2</v>
      </c>
      <c r="P1725">
        <f t="shared" si="195"/>
        <v>5325</v>
      </c>
      <c r="Q1725" t="str">
        <f t="shared" si="198"/>
        <v>music</v>
      </c>
      <c r="R1725" t="str">
        <f t="shared" si="199"/>
        <v>faith</v>
      </c>
      <c r="S1725" s="9">
        <f t="shared" si="196"/>
        <v>42129.617071759254</v>
      </c>
      <c r="T1725" s="9">
        <f t="shared" si="197"/>
        <v>42186.041666666664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94"/>
        <v>5.8333333333333336E-3</v>
      </c>
      <c r="P1726">
        <f t="shared" si="195"/>
        <v>3017.5</v>
      </c>
      <c r="Q1726" t="str">
        <f t="shared" si="198"/>
        <v>music</v>
      </c>
      <c r="R1726" t="str">
        <f t="shared" si="199"/>
        <v>faith</v>
      </c>
      <c r="S1726" s="9">
        <f t="shared" si="196"/>
        <v>41912.724097222221</v>
      </c>
      <c r="T1726" s="9">
        <f t="shared" si="197"/>
        <v>41942.724097222221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94"/>
        <v>0.10181818181818182</v>
      </c>
      <c r="P1727">
        <f t="shared" si="195"/>
        <v>3030</v>
      </c>
      <c r="Q1727" t="str">
        <f t="shared" si="198"/>
        <v>music</v>
      </c>
      <c r="R1727" t="str">
        <f t="shared" si="199"/>
        <v>faith</v>
      </c>
      <c r="S1727" s="9">
        <f t="shared" si="196"/>
        <v>41845.759826388887</v>
      </c>
      <c r="T1727" s="9">
        <f t="shared" si="197"/>
        <v>41875.759826388887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94"/>
        <v>0.33784615384615385</v>
      </c>
      <c r="P1728">
        <f t="shared" si="195"/>
        <v>4348</v>
      </c>
      <c r="Q1728" t="str">
        <f t="shared" si="198"/>
        <v>music</v>
      </c>
      <c r="R1728" t="str">
        <f t="shared" si="199"/>
        <v>faith</v>
      </c>
      <c r="S1728" s="9">
        <f t="shared" si="196"/>
        <v>41788.711388888885</v>
      </c>
      <c r="T1728" s="9">
        <f t="shared" si="197"/>
        <v>41817.711388888885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94"/>
        <v>3.3333333333333332E-4</v>
      </c>
      <c r="P1729">
        <f t="shared" si="195"/>
        <v>1500.5</v>
      </c>
      <c r="Q1729" t="str">
        <f t="shared" si="198"/>
        <v>music</v>
      </c>
      <c r="R1729" t="str">
        <f t="shared" si="199"/>
        <v>faith</v>
      </c>
      <c r="S1729" s="9">
        <f t="shared" si="196"/>
        <v>42044.719641203701</v>
      </c>
      <c r="T1729" s="9">
        <f t="shared" si="197"/>
        <v>42099.249999999993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94"/>
        <v>0.68400000000000005</v>
      </c>
      <c r="P1730">
        <f t="shared" si="195"/>
        <v>1052.5</v>
      </c>
      <c r="Q1730" t="str">
        <f t="shared" si="198"/>
        <v>music</v>
      </c>
      <c r="R1730" t="str">
        <f t="shared" si="199"/>
        <v>faith</v>
      </c>
      <c r="S1730" s="9">
        <f t="shared" si="196"/>
        <v>42268.417523148142</v>
      </c>
      <c r="T1730" s="9">
        <f t="shared" si="197"/>
        <v>42298.417523148142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200">E1731/D1731</f>
        <v>0</v>
      </c>
      <c r="P1731">
        <f t="shared" ref="P1731:P1794" si="201">AVERAGE(D1731:E1731)</f>
        <v>5000</v>
      </c>
      <c r="Q1731" t="str">
        <f t="shared" si="198"/>
        <v>music</v>
      </c>
      <c r="R1731" t="str">
        <f t="shared" si="199"/>
        <v>faith</v>
      </c>
      <c r="S1731" s="9">
        <f t="shared" ref="S1731:S1794" si="202">J1731/86400+25569+(-5/24)</f>
        <v>42470.843819444439</v>
      </c>
      <c r="T1731" s="9">
        <f t="shared" si="197"/>
        <v>42530.843819444439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200"/>
        <v>0</v>
      </c>
      <c r="P1732">
        <f t="shared" si="201"/>
        <v>1500</v>
      </c>
      <c r="Q1732" t="str">
        <f t="shared" si="198"/>
        <v>music</v>
      </c>
      <c r="R1732" t="str">
        <f t="shared" si="199"/>
        <v>faith</v>
      </c>
      <c r="S1732" s="9">
        <f t="shared" si="202"/>
        <v>42271.879432870366</v>
      </c>
      <c r="T1732" s="9">
        <f t="shared" ref="T1732:T1795" si="203">I1732/86400+25569+(-5/24)</f>
        <v>42301.879432870366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200"/>
        <v>0</v>
      </c>
      <c r="P1733">
        <f t="shared" si="201"/>
        <v>500</v>
      </c>
      <c r="Q1733" t="str">
        <f t="shared" si="198"/>
        <v>music</v>
      </c>
      <c r="R1733" t="str">
        <f t="shared" si="199"/>
        <v>faith</v>
      </c>
      <c r="S1733" s="9">
        <f t="shared" si="202"/>
        <v>42152.698518518511</v>
      </c>
      <c r="T1733" s="9">
        <f t="shared" si="203"/>
        <v>42166.416666666664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200"/>
        <v>0</v>
      </c>
      <c r="P1734">
        <f t="shared" si="201"/>
        <v>2000</v>
      </c>
      <c r="Q1734" t="str">
        <f t="shared" si="198"/>
        <v>music</v>
      </c>
      <c r="R1734" t="str">
        <f t="shared" si="199"/>
        <v>faith</v>
      </c>
      <c r="S1734" s="9">
        <f t="shared" si="202"/>
        <v>42325.475474537037</v>
      </c>
      <c r="T1734" s="9">
        <f t="shared" si="203"/>
        <v>42384.999999999993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200"/>
        <v>0</v>
      </c>
      <c r="P1735">
        <f t="shared" si="201"/>
        <v>5000</v>
      </c>
      <c r="Q1735" t="str">
        <f t="shared" si="198"/>
        <v>music</v>
      </c>
      <c r="R1735" t="str">
        <f t="shared" si="199"/>
        <v>faith</v>
      </c>
      <c r="S1735" s="9">
        <f t="shared" si="202"/>
        <v>42614.467291666668</v>
      </c>
      <c r="T1735" s="9">
        <f t="shared" si="203"/>
        <v>42626.687499999993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200"/>
        <v>2.2222222222222223E-4</v>
      </c>
      <c r="P1736">
        <f t="shared" si="201"/>
        <v>2250.5</v>
      </c>
      <c r="Q1736" t="str">
        <f t="shared" si="198"/>
        <v>music</v>
      </c>
      <c r="R1736" t="str">
        <f t="shared" si="199"/>
        <v>faith</v>
      </c>
      <c r="S1736" s="9">
        <f t="shared" si="202"/>
        <v>42101.828194444439</v>
      </c>
      <c r="T1736" s="9">
        <f t="shared" si="203"/>
        <v>42131.828194444439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200"/>
        <v>0.11</v>
      </c>
      <c r="P1737">
        <f t="shared" si="201"/>
        <v>555</v>
      </c>
      <c r="Q1737" t="str">
        <f t="shared" si="198"/>
        <v>music</v>
      </c>
      <c r="R1737" t="str">
        <f t="shared" si="199"/>
        <v>faith</v>
      </c>
      <c r="S1737" s="9">
        <f t="shared" si="202"/>
        <v>42559.605844907404</v>
      </c>
      <c r="T1737" s="9">
        <f t="shared" si="203"/>
        <v>42589.605844907404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200"/>
        <v>7.3333333333333332E-3</v>
      </c>
      <c r="P1738">
        <f t="shared" si="201"/>
        <v>1511</v>
      </c>
      <c r="Q1738" t="str">
        <f t="shared" si="198"/>
        <v>music</v>
      </c>
      <c r="R1738" t="str">
        <f t="shared" si="199"/>
        <v>faith</v>
      </c>
      <c r="S1738" s="9">
        <f t="shared" si="202"/>
        <v>42286.65315972222</v>
      </c>
      <c r="T1738" s="9">
        <f t="shared" si="203"/>
        <v>42316.694826388884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200"/>
        <v>0.21249999999999999</v>
      </c>
      <c r="P1739">
        <f t="shared" si="201"/>
        <v>2425</v>
      </c>
      <c r="Q1739" t="str">
        <f t="shared" si="198"/>
        <v>music</v>
      </c>
      <c r="R1739" t="str">
        <f t="shared" si="199"/>
        <v>faith</v>
      </c>
      <c r="S1739" s="9">
        <f t="shared" si="202"/>
        <v>42175.740648148145</v>
      </c>
      <c r="T1739" s="9">
        <f t="shared" si="203"/>
        <v>42205.740648148145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200"/>
        <v>4.0000000000000001E-3</v>
      </c>
      <c r="P1740">
        <f t="shared" si="201"/>
        <v>2510</v>
      </c>
      <c r="Q1740" t="str">
        <f t="shared" si="198"/>
        <v>music</v>
      </c>
      <c r="R1740" t="str">
        <f t="shared" si="199"/>
        <v>faith</v>
      </c>
      <c r="S1740" s="9">
        <f t="shared" si="202"/>
        <v>41884.665995370371</v>
      </c>
      <c r="T1740" s="9">
        <f t="shared" si="203"/>
        <v>41914.665995370371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200"/>
        <v>1E-3</v>
      </c>
      <c r="P1741">
        <f t="shared" si="201"/>
        <v>500.5</v>
      </c>
      <c r="Q1741" t="str">
        <f t="shared" si="198"/>
        <v>music</v>
      </c>
      <c r="R1741" t="str">
        <f t="shared" si="199"/>
        <v>faith</v>
      </c>
      <c r="S1741" s="9">
        <f t="shared" si="202"/>
        <v>42435.665879629632</v>
      </c>
      <c r="T1741" s="9">
        <f t="shared" si="203"/>
        <v>42494.624212962961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200"/>
        <v>0</v>
      </c>
      <c r="P1742">
        <f t="shared" si="201"/>
        <v>1500</v>
      </c>
      <c r="Q1742" t="str">
        <f t="shared" si="198"/>
        <v>music</v>
      </c>
      <c r="R1742" t="str">
        <f t="shared" si="199"/>
        <v>faith</v>
      </c>
      <c r="S1742" s="9">
        <f t="shared" si="202"/>
        <v>42171.609050925923</v>
      </c>
      <c r="T1742" s="9">
        <f t="shared" si="203"/>
        <v>42201.609050925923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200"/>
        <v>1.1083333333333334</v>
      </c>
      <c r="P1743">
        <f t="shared" si="201"/>
        <v>1265</v>
      </c>
      <c r="Q1743" t="str">
        <f>IF(N1743="photography/photobooks","photography")</f>
        <v>photography</v>
      </c>
      <c r="R1743" t="str">
        <f>IF(N1743="photography/photobooks","photobooks")</f>
        <v>photobooks</v>
      </c>
      <c r="S1743" s="9">
        <f t="shared" si="202"/>
        <v>42120.419803240737</v>
      </c>
      <c r="T1743" s="9">
        <f t="shared" si="203"/>
        <v>42165.419803240737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200"/>
        <v>1.0874999999999999</v>
      </c>
      <c r="P1744">
        <f t="shared" si="201"/>
        <v>2087.5</v>
      </c>
      <c r="Q1744" t="str">
        <f t="shared" ref="Q1744:Q1807" si="204">IF(N1744="photography/photobooks","photography")</f>
        <v>photography</v>
      </c>
      <c r="R1744" t="str">
        <f t="shared" ref="R1744:R1807" si="205">IF(N1744="photography/photobooks","photobooks")</f>
        <v>photobooks</v>
      </c>
      <c r="S1744" s="9">
        <f t="shared" si="202"/>
        <v>42710.668634259258</v>
      </c>
      <c r="T1744" s="9">
        <f t="shared" si="203"/>
        <v>42742.666666666664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200"/>
        <v>1.0041666666666667</v>
      </c>
      <c r="P1745">
        <f t="shared" si="201"/>
        <v>6012.5</v>
      </c>
      <c r="Q1745" t="str">
        <f t="shared" si="204"/>
        <v>photography</v>
      </c>
      <c r="R1745" t="str">
        <f t="shared" si="205"/>
        <v>photobooks</v>
      </c>
      <c r="S1745" s="9">
        <f t="shared" si="202"/>
        <v>42586.717303240737</v>
      </c>
      <c r="T1745" s="9">
        <f t="shared" si="203"/>
        <v>42608.957638888889</v>
      </c>
    </row>
    <row r="1746" spans="1:20" ht="43.5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200"/>
        <v>1.1845454545454546</v>
      </c>
      <c r="P1746">
        <f t="shared" si="201"/>
        <v>6007.5</v>
      </c>
      <c r="Q1746" t="str">
        <f t="shared" si="204"/>
        <v>photography</v>
      </c>
      <c r="R1746" t="str">
        <f t="shared" si="205"/>
        <v>photobooks</v>
      </c>
      <c r="S1746" s="9">
        <f t="shared" si="202"/>
        <v>42026.396724537037</v>
      </c>
      <c r="T1746" s="9">
        <f t="shared" si="203"/>
        <v>42071.355057870365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200"/>
        <v>1.1401428571428571</v>
      </c>
      <c r="P1747">
        <f t="shared" si="201"/>
        <v>7490.5</v>
      </c>
      <c r="Q1747" t="str">
        <f t="shared" si="204"/>
        <v>photography</v>
      </c>
      <c r="R1747" t="str">
        <f t="shared" si="205"/>
        <v>photobooks</v>
      </c>
      <c r="S1747" s="9">
        <f t="shared" si="202"/>
        <v>42690.051365740735</v>
      </c>
      <c r="T1747" s="9">
        <f t="shared" si="203"/>
        <v>42725.874999999993</v>
      </c>
    </row>
    <row r="1748" spans="1:20" ht="43.5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200"/>
        <v>1.4810000000000001</v>
      </c>
      <c r="P1748">
        <f t="shared" si="201"/>
        <v>18607.5</v>
      </c>
      <c r="Q1748" t="str">
        <f t="shared" si="204"/>
        <v>photography</v>
      </c>
      <c r="R1748" t="str">
        <f t="shared" si="205"/>
        <v>photobooks</v>
      </c>
      <c r="S1748" s="9">
        <f t="shared" si="202"/>
        <v>42667.968368055554</v>
      </c>
      <c r="T1748" s="9">
        <f t="shared" si="203"/>
        <v>42697.874999999993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200"/>
        <v>1.0495555555555556</v>
      </c>
      <c r="P1749">
        <f t="shared" si="201"/>
        <v>9223</v>
      </c>
      <c r="Q1749" t="str">
        <f t="shared" si="204"/>
        <v>photography</v>
      </c>
      <c r="R1749" t="str">
        <f t="shared" si="205"/>
        <v>photobooks</v>
      </c>
      <c r="S1749" s="9">
        <f t="shared" si="202"/>
        <v>42292.22719907407</v>
      </c>
      <c r="T1749" s="9">
        <f t="shared" si="203"/>
        <v>42321.416666666664</v>
      </c>
    </row>
    <row r="1750" spans="1:20" ht="29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200"/>
        <v>1.29948</v>
      </c>
      <c r="P1750">
        <f t="shared" si="201"/>
        <v>57487</v>
      </c>
      <c r="Q1750" t="str">
        <f t="shared" si="204"/>
        <v>photography</v>
      </c>
      <c r="R1750" t="str">
        <f t="shared" si="205"/>
        <v>photobooks</v>
      </c>
      <c r="S1750" s="9">
        <f t="shared" si="202"/>
        <v>42219.742395833331</v>
      </c>
      <c r="T1750" s="9">
        <f t="shared" si="203"/>
        <v>42249.742395833331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200"/>
        <v>1.2348756218905472</v>
      </c>
      <c r="P1751">
        <f t="shared" si="201"/>
        <v>11230.25</v>
      </c>
      <c r="Q1751" t="str">
        <f t="shared" si="204"/>
        <v>photography</v>
      </c>
      <c r="R1751" t="str">
        <f t="shared" si="205"/>
        <v>photobooks</v>
      </c>
      <c r="S1751" s="9">
        <f t="shared" si="202"/>
        <v>42758.767604166664</v>
      </c>
      <c r="T1751" s="9">
        <f t="shared" si="203"/>
        <v>42795.583333333336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200"/>
        <v>2.0162</v>
      </c>
      <c r="P1752">
        <f t="shared" si="201"/>
        <v>7540.5</v>
      </c>
      <c r="Q1752" t="str">
        <f t="shared" si="204"/>
        <v>photography</v>
      </c>
      <c r="R1752" t="str">
        <f t="shared" si="205"/>
        <v>photobooks</v>
      </c>
      <c r="S1752" s="9">
        <f t="shared" si="202"/>
        <v>42454.628518518519</v>
      </c>
      <c r="T1752" s="9">
        <f t="shared" si="203"/>
        <v>42479.628518518519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200"/>
        <v>1.0289999999999999</v>
      </c>
      <c r="P1753">
        <f t="shared" si="201"/>
        <v>10145</v>
      </c>
      <c r="Q1753" t="str">
        <f t="shared" si="204"/>
        <v>photography</v>
      </c>
      <c r="R1753" t="str">
        <f t="shared" si="205"/>
        <v>photobooks</v>
      </c>
      <c r="S1753" s="9">
        <f t="shared" si="202"/>
        <v>42052.573182870365</v>
      </c>
      <c r="T1753" s="9">
        <f t="shared" si="203"/>
        <v>42082.5315162037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200"/>
        <v>2.6016666666666666</v>
      </c>
      <c r="P1754">
        <f t="shared" si="201"/>
        <v>2161</v>
      </c>
      <c r="Q1754" t="str">
        <f t="shared" si="204"/>
        <v>photography</v>
      </c>
      <c r="R1754" t="str">
        <f t="shared" si="205"/>
        <v>photobooks</v>
      </c>
      <c r="S1754" s="9">
        <f t="shared" si="202"/>
        <v>42627.044930555552</v>
      </c>
      <c r="T1754" s="9">
        <f t="shared" si="203"/>
        <v>42657.044930555552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200"/>
        <v>1.08</v>
      </c>
      <c r="P1755">
        <f t="shared" si="201"/>
        <v>15600</v>
      </c>
      <c r="Q1755" t="str">
        <f t="shared" si="204"/>
        <v>photography</v>
      </c>
      <c r="R1755" t="str">
        <f t="shared" si="205"/>
        <v>photobooks</v>
      </c>
      <c r="S1755" s="9">
        <f t="shared" si="202"/>
        <v>42420.541296296295</v>
      </c>
      <c r="T1755" s="9">
        <f t="shared" si="203"/>
        <v>42450.499629629623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200"/>
        <v>1.1052941176470588</v>
      </c>
      <c r="P1756">
        <f t="shared" si="201"/>
        <v>8947.5</v>
      </c>
      <c r="Q1756" t="str">
        <f t="shared" si="204"/>
        <v>photography</v>
      </c>
      <c r="R1756" t="str">
        <f t="shared" si="205"/>
        <v>photobooks</v>
      </c>
      <c r="S1756" s="9">
        <f t="shared" si="202"/>
        <v>42067.668437499997</v>
      </c>
      <c r="T1756" s="9">
        <f t="shared" si="203"/>
        <v>42097.626770833333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200"/>
        <v>1.2</v>
      </c>
      <c r="P1757">
        <f t="shared" si="201"/>
        <v>27.5</v>
      </c>
      <c r="Q1757" t="str">
        <f t="shared" si="204"/>
        <v>photography</v>
      </c>
      <c r="R1757" t="str">
        <f t="shared" si="205"/>
        <v>photobooks</v>
      </c>
      <c r="S1757" s="9">
        <f t="shared" si="202"/>
        <v>42252.580567129626</v>
      </c>
      <c r="T1757" s="9">
        <f t="shared" si="203"/>
        <v>42282.580567129626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200"/>
        <v>1.0282909090909091</v>
      </c>
      <c r="P1758">
        <f t="shared" si="201"/>
        <v>5577.8</v>
      </c>
      <c r="Q1758" t="str">
        <f t="shared" si="204"/>
        <v>photography</v>
      </c>
      <c r="R1758" t="str">
        <f t="shared" si="205"/>
        <v>photobooks</v>
      </c>
      <c r="S1758" s="9">
        <f t="shared" si="202"/>
        <v>42570.959131944437</v>
      </c>
      <c r="T1758" s="9">
        <f t="shared" si="203"/>
        <v>42610.959131944437</v>
      </c>
    </row>
    <row r="1759" spans="1:20" ht="29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200"/>
        <v>1.1599999999999999</v>
      </c>
      <c r="P1759">
        <f t="shared" si="201"/>
        <v>5400</v>
      </c>
      <c r="Q1759" t="str">
        <f t="shared" si="204"/>
        <v>photography</v>
      </c>
      <c r="R1759" t="str">
        <f t="shared" si="205"/>
        <v>photobooks</v>
      </c>
      <c r="S1759" s="9">
        <f t="shared" si="202"/>
        <v>42733.619016203702</v>
      </c>
      <c r="T1759" s="9">
        <f t="shared" si="203"/>
        <v>42763.603472222218</v>
      </c>
    </row>
    <row r="1760" spans="1:20" ht="43.5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200"/>
        <v>1.147</v>
      </c>
      <c r="P1760">
        <f t="shared" si="201"/>
        <v>1073.5</v>
      </c>
      <c r="Q1760" t="str">
        <f t="shared" si="204"/>
        <v>photography</v>
      </c>
      <c r="R1760" t="str">
        <f t="shared" si="205"/>
        <v>photobooks</v>
      </c>
      <c r="S1760" s="9">
        <f t="shared" si="202"/>
        <v>42505.74759259259</v>
      </c>
      <c r="T1760" s="9">
        <f t="shared" si="203"/>
        <v>42565.74759259259</v>
      </c>
    </row>
    <row r="1761" spans="1:20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200"/>
        <v>1.0660000000000001</v>
      </c>
      <c r="P1761">
        <f t="shared" si="201"/>
        <v>5165</v>
      </c>
      <c r="Q1761" t="str">
        <f t="shared" si="204"/>
        <v>photography</v>
      </c>
      <c r="R1761" t="str">
        <f t="shared" si="205"/>
        <v>photobooks</v>
      </c>
      <c r="S1761" s="9">
        <f t="shared" si="202"/>
        <v>42068.620706018519</v>
      </c>
      <c r="T1761" s="9">
        <f t="shared" si="203"/>
        <v>42088.579039351847</v>
      </c>
    </row>
    <row r="1762" spans="1:20" ht="43.5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200"/>
        <v>1.6544000000000001</v>
      </c>
      <c r="P1762">
        <f t="shared" si="201"/>
        <v>6636</v>
      </c>
      <c r="Q1762" t="str">
        <f t="shared" si="204"/>
        <v>photography</v>
      </c>
      <c r="R1762" t="str">
        <f t="shared" si="205"/>
        <v>photobooks</v>
      </c>
      <c r="S1762" s="9">
        <f t="shared" si="202"/>
        <v>42405.464270833334</v>
      </c>
      <c r="T1762" s="9">
        <f t="shared" si="203"/>
        <v>42425.464270833334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200"/>
        <v>1.55</v>
      </c>
      <c r="P1763">
        <f t="shared" si="201"/>
        <v>127.5</v>
      </c>
      <c r="Q1763" t="str">
        <f t="shared" si="204"/>
        <v>photography</v>
      </c>
      <c r="R1763" t="str">
        <f t="shared" si="205"/>
        <v>photobooks</v>
      </c>
      <c r="S1763" s="9">
        <f t="shared" si="202"/>
        <v>42209.359490740739</v>
      </c>
      <c r="T1763" s="9">
        <f t="shared" si="203"/>
        <v>42259.359490740739</v>
      </c>
    </row>
    <row r="1764" spans="1:20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200"/>
        <v>8.85</v>
      </c>
      <c r="P1764">
        <f t="shared" si="201"/>
        <v>492.5</v>
      </c>
      <c r="Q1764" t="str">
        <f t="shared" si="204"/>
        <v>photography</v>
      </c>
      <c r="R1764" t="str">
        <f t="shared" si="205"/>
        <v>photobooks</v>
      </c>
      <c r="S1764" s="9">
        <f t="shared" si="202"/>
        <v>42410.773668981477</v>
      </c>
      <c r="T1764" s="9">
        <f t="shared" si="203"/>
        <v>42440.773668981477</v>
      </c>
    </row>
    <row r="1765" spans="1:20" ht="43.5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200"/>
        <v>1.0190833333333333</v>
      </c>
      <c r="P1765">
        <f t="shared" si="201"/>
        <v>12114.5</v>
      </c>
      <c r="Q1765" t="str">
        <f t="shared" si="204"/>
        <v>photography</v>
      </c>
      <c r="R1765" t="str">
        <f t="shared" si="205"/>
        <v>photobooks</v>
      </c>
      <c r="S1765" s="9">
        <f t="shared" si="202"/>
        <v>42636.660185185181</v>
      </c>
      <c r="T1765" s="9">
        <f t="shared" si="203"/>
        <v>42666.660185185181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200"/>
        <v>0.19600000000000001</v>
      </c>
      <c r="P1766">
        <f t="shared" si="201"/>
        <v>6578</v>
      </c>
      <c r="Q1766" t="str">
        <f t="shared" si="204"/>
        <v>photography</v>
      </c>
      <c r="R1766" t="str">
        <f t="shared" si="205"/>
        <v>photobooks</v>
      </c>
      <c r="S1766" s="9">
        <f t="shared" si="202"/>
        <v>41825.27753472222</v>
      </c>
      <c r="T1766" s="9">
        <f t="shared" si="203"/>
        <v>41854.27753472222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200"/>
        <v>0.59467839999999994</v>
      </c>
      <c r="P1767">
        <f t="shared" si="201"/>
        <v>9966.74</v>
      </c>
      <c r="Q1767" t="str">
        <f t="shared" si="204"/>
        <v>photography</v>
      </c>
      <c r="R1767" t="str">
        <f t="shared" si="205"/>
        <v>photobooks</v>
      </c>
      <c r="S1767" s="9">
        <f t="shared" si="202"/>
        <v>41834.772129629629</v>
      </c>
      <c r="T1767" s="9">
        <f t="shared" si="203"/>
        <v>41864.772129629629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200"/>
        <v>0</v>
      </c>
      <c r="P1768">
        <f t="shared" si="201"/>
        <v>750</v>
      </c>
      <c r="Q1768" t="str">
        <f t="shared" si="204"/>
        <v>photography</v>
      </c>
      <c r="R1768" t="str">
        <f t="shared" si="205"/>
        <v>photobooks</v>
      </c>
      <c r="S1768" s="9">
        <f t="shared" si="202"/>
        <v>41855.65148148148</v>
      </c>
      <c r="T1768" s="9">
        <f t="shared" si="203"/>
        <v>41876.65148148148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200"/>
        <v>0.4572</v>
      </c>
      <c r="P1769">
        <f t="shared" si="201"/>
        <v>3643</v>
      </c>
      <c r="Q1769" t="str">
        <f t="shared" si="204"/>
        <v>photography</v>
      </c>
      <c r="R1769" t="str">
        <f t="shared" si="205"/>
        <v>photobooks</v>
      </c>
      <c r="S1769" s="9">
        <f t="shared" si="202"/>
        <v>41824.450046296297</v>
      </c>
      <c r="T1769" s="9">
        <f t="shared" si="203"/>
        <v>41854.450046296297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200"/>
        <v>3.7400000000000003E-2</v>
      </c>
      <c r="P1770">
        <f t="shared" si="201"/>
        <v>2593.5</v>
      </c>
      <c r="Q1770" t="str">
        <f t="shared" si="204"/>
        <v>photography</v>
      </c>
      <c r="R1770" t="str">
        <f t="shared" si="205"/>
        <v>photobooks</v>
      </c>
      <c r="S1770" s="9">
        <f t="shared" si="202"/>
        <v>41849.352361111109</v>
      </c>
      <c r="T1770" s="9">
        <f t="shared" si="203"/>
        <v>41909.352361111109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200"/>
        <v>2.7025E-2</v>
      </c>
      <c r="P1771">
        <f t="shared" si="201"/>
        <v>20540.5</v>
      </c>
      <c r="Q1771" t="str">
        <f t="shared" si="204"/>
        <v>photography</v>
      </c>
      <c r="R1771" t="str">
        <f t="shared" si="205"/>
        <v>photobooks</v>
      </c>
      <c r="S1771" s="9">
        <f t="shared" si="202"/>
        <v>41987.610636574071</v>
      </c>
      <c r="T1771" s="9">
        <f t="shared" si="203"/>
        <v>42017.610636574071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200"/>
        <v>0.56514285714285717</v>
      </c>
      <c r="P1772">
        <f t="shared" si="201"/>
        <v>19173</v>
      </c>
      <c r="Q1772" t="str">
        <f t="shared" si="204"/>
        <v>photography</v>
      </c>
      <c r="R1772" t="str">
        <f t="shared" si="205"/>
        <v>photobooks</v>
      </c>
      <c r="S1772" s="9">
        <f t="shared" si="202"/>
        <v>41891.571689814817</v>
      </c>
      <c r="T1772" s="9">
        <f t="shared" si="203"/>
        <v>41926.571689814817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200"/>
        <v>0.21309523809523809</v>
      </c>
      <c r="P1773">
        <f t="shared" si="201"/>
        <v>2547.5</v>
      </c>
      <c r="Q1773" t="str">
        <f t="shared" si="204"/>
        <v>photography</v>
      </c>
      <c r="R1773" t="str">
        <f t="shared" si="205"/>
        <v>photobooks</v>
      </c>
      <c r="S1773" s="9">
        <f t="shared" si="202"/>
        <v>41905.771296296291</v>
      </c>
      <c r="T1773" s="9">
        <f t="shared" si="203"/>
        <v>41935.771296296291</v>
      </c>
    </row>
    <row r="1774" spans="1:20" ht="29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200"/>
        <v>0.156</v>
      </c>
      <c r="P1774">
        <f t="shared" si="201"/>
        <v>3179</v>
      </c>
      <c r="Q1774" t="str">
        <f t="shared" si="204"/>
        <v>photography</v>
      </c>
      <c r="R1774" t="str">
        <f t="shared" si="205"/>
        <v>photobooks</v>
      </c>
      <c r="S1774" s="9">
        <f t="shared" si="202"/>
        <v>41766.509675925925</v>
      </c>
      <c r="T1774" s="9">
        <f t="shared" si="203"/>
        <v>41826.509675925925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200"/>
        <v>6.2566666666666673E-2</v>
      </c>
      <c r="P1775">
        <f t="shared" si="201"/>
        <v>15938.5</v>
      </c>
      <c r="Q1775" t="str">
        <f t="shared" si="204"/>
        <v>photography</v>
      </c>
      <c r="R1775" t="str">
        <f t="shared" si="205"/>
        <v>photobooks</v>
      </c>
      <c r="S1775" s="9">
        <f t="shared" si="202"/>
        <v>41978.552060185182</v>
      </c>
      <c r="T1775" s="9">
        <f t="shared" si="203"/>
        <v>42023.552060185182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200"/>
        <v>0.4592</v>
      </c>
      <c r="P1776">
        <f t="shared" si="201"/>
        <v>1824</v>
      </c>
      <c r="Q1776" t="str">
        <f t="shared" si="204"/>
        <v>photography</v>
      </c>
      <c r="R1776" t="str">
        <f t="shared" si="205"/>
        <v>photobooks</v>
      </c>
      <c r="S1776" s="9">
        <f t="shared" si="202"/>
        <v>41930.010324074072</v>
      </c>
      <c r="T1776" s="9">
        <f t="shared" si="203"/>
        <v>41972.415972222218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200"/>
        <v>0.65101538461538466</v>
      </c>
      <c r="P1777">
        <f t="shared" si="201"/>
        <v>26829</v>
      </c>
      <c r="Q1777" t="str">
        <f t="shared" si="204"/>
        <v>photography</v>
      </c>
      <c r="R1777" t="str">
        <f t="shared" si="205"/>
        <v>photobooks</v>
      </c>
      <c r="S1777" s="9">
        <f t="shared" si="202"/>
        <v>41891.768055555549</v>
      </c>
      <c r="T1777" s="9">
        <f t="shared" si="203"/>
        <v>41936.768055555549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200"/>
        <v>6.7000000000000004E-2</v>
      </c>
      <c r="P1778">
        <f t="shared" si="201"/>
        <v>2667.5</v>
      </c>
      <c r="Q1778" t="str">
        <f t="shared" si="204"/>
        <v>photography</v>
      </c>
      <c r="R1778" t="str">
        <f t="shared" si="205"/>
        <v>photobooks</v>
      </c>
      <c r="S1778" s="9">
        <f t="shared" si="202"/>
        <v>41905.748506944445</v>
      </c>
      <c r="T1778" s="9">
        <f t="shared" si="203"/>
        <v>41941.748506944445</v>
      </c>
    </row>
    <row r="1779" spans="1:20" ht="43.5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200"/>
        <v>0.135625</v>
      </c>
      <c r="P1779">
        <f t="shared" si="201"/>
        <v>2725.5</v>
      </c>
      <c r="Q1779" t="str">
        <f t="shared" si="204"/>
        <v>photography</v>
      </c>
      <c r="R1779" t="str">
        <f t="shared" si="205"/>
        <v>photobooks</v>
      </c>
      <c r="S1779" s="9">
        <f t="shared" si="202"/>
        <v>42025.14876157407</v>
      </c>
      <c r="T1779" s="9">
        <f t="shared" si="203"/>
        <v>42055.14876157407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200"/>
        <v>1.9900000000000001E-2</v>
      </c>
      <c r="P1780">
        <f t="shared" si="201"/>
        <v>25497.5</v>
      </c>
      <c r="Q1780" t="str">
        <f t="shared" si="204"/>
        <v>photography</v>
      </c>
      <c r="R1780" t="str">
        <f t="shared" si="205"/>
        <v>photobooks</v>
      </c>
      <c r="S1780" s="9">
        <f t="shared" si="202"/>
        <v>42045.655034722215</v>
      </c>
      <c r="T1780" s="9">
        <f t="shared" si="203"/>
        <v>42090.613368055558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200"/>
        <v>0.36236363636363639</v>
      </c>
      <c r="P1781">
        <f t="shared" si="201"/>
        <v>7493</v>
      </c>
      <c r="Q1781" t="str">
        <f t="shared" si="204"/>
        <v>photography</v>
      </c>
      <c r="R1781" t="str">
        <f t="shared" si="205"/>
        <v>photobooks</v>
      </c>
      <c r="S1781" s="9">
        <f t="shared" si="202"/>
        <v>42585.483564814807</v>
      </c>
      <c r="T1781" s="9">
        <f t="shared" si="203"/>
        <v>42615.483564814807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200"/>
        <v>0.39743333333333336</v>
      </c>
      <c r="P1782">
        <f t="shared" si="201"/>
        <v>20961.5</v>
      </c>
      <c r="Q1782" t="str">
        <f t="shared" si="204"/>
        <v>photography</v>
      </c>
      <c r="R1782" t="str">
        <f t="shared" si="205"/>
        <v>photobooks</v>
      </c>
      <c r="S1782" s="9">
        <f t="shared" si="202"/>
        <v>42493.392476851848</v>
      </c>
      <c r="T1782" s="9">
        <f t="shared" si="203"/>
        <v>42553.392476851848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200"/>
        <v>0.25763636363636366</v>
      </c>
      <c r="P1783">
        <f t="shared" si="201"/>
        <v>3458.5</v>
      </c>
      <c r="Q1783" t="str">
        <f t="shared" si="204"/>
        <v>photography</v>
      </c>
      <c r="R1783" t="str">
        <f t="shared" si="205"/>
        <v>photobooks</v>
      </c>
      <c r="S1783" s="9">
        <f t="shared" si="202"/>
        <v>42597.409085648142</v>
      </c>
      <c r="T1783" s="9">
        <f t="shared" si="203"/>
        <v>42628.409085648142</v>
      </c>
    </row>
    <row r="1784" spans="1:20" ht="43.5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200"/>
        <v>0.15491428571428573</v>
      </c>
      <c r="P1784">
        <f t="shared" si="201"/>
        <v>20211</v>
      </c>
      <c r="Q1784" t="str">
        <f t="shared" si="204"/>
        <v>photography</v>
      </c>
      <c r="R1784" t="str">
        <f t="shared" si="205"/>
        <v>photobooks</v>
      </c>
      <c r="S1784" s="9">
        <f t="shared" si="202"/>
        <v>42388.366770833331</v>
      </c>
      <c r="T1784" s="9">
        <f t="shared" si="203"/>
        <v>42421.366770833331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200"/>
        <v>0.236925</v>
      </c>
      <c r="P1785">
        <f t="shared" si="201"/>
        <v>24738.5</v>
      </c>
      <c r="Q1785" t="str">
        <f t="shared" si="204"/>
        <v>photography</v>
      </c>
      <c r="R1785" t="str">
        <f t="shared" si="205"/>
        <v>photobooks</v>
      </c>
      <c r="S1785" s="9">
        <f t="shared" si="202"/>
        <v>42115.741643518515</v>
      </c>
      <c r="T1785" s="9">
        <f t="shared" si="203"/>
        <v>42145.741643518515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200"/>
        <v>0.39760000000000001</v>
      </c>
      <c r="P1786">
        <f t="shared" si="201"/>
        <v>3494</v>
      </c>
      <c r="Q1786" t="str">
        <f t="shared" si="204"/>
        <v>photography</v>
      </c>
      <c r="R1786" t="str">
        <f t="shared" si="205"/>
        <v>photobooks</v>
      </c>
      <c r="S1786" s="9">
        <f t="shared" si="202"/>
        <v>42003.447222222218</v>
      </c>
      <c r="T1786" s="9">
        <f t="shared" si="203"/>
        <v>42034.934027777774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200"/>
        <v>0.20220833333333332</v>
      </c>
      <c r="P1787">
        <f t="shared" si="201"/>
        <v>14426.5</v>
      </c>
      <c r="Q1787" t="str">
        <f t="shared" si="204"/>
        <v>photography</v>
      </c>
      <c r="R1787" t="str">
        <f t="shared" si="205"/>
        <v>photobooks</v>
      </c>
      <c r="S1787" s="9">
        <f t="shared" si="202"/>
        <v>41896.926562499997</v>
      </c>
      <c r="T1787" s="9">
        <f t="shared" si="203"/>
        <v>41927.791666666664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200"/>
        <v>0.47631578947368419</v>
      </c>
      <c r="P1788">
        <f t="shared" si="201"/>
        <v>1402.5</v>
      </c>
      <c r="Q1788" t="str">
        <f t="shared" si="204"/>
        <v>photography</v>
      </c>
      <c r="R1788" t="str">
        <f t="shared" si="205"/>
        <v>photobooks</v>
      </c>
      <c r="S1788" s="9">
        <f t="shared" si="202"/>
        <v>41958.342326388891</v>
      </c>
      <c r="T1788" s="9">
        <f t="shared" si="203"/>
        <v>41988.342326388891</v>
      </c>
    </row>
    <row r="1789" spans="1:20" ht="29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200"/>
        <v>0.15329999999999999</v>
      </c>
      <c r="P1789">
        <f t="shared" si="201"/>
        <v>5766.5</v>
      </c>
      <c r="Q1789" t="str">
        <f t="shared" si="204"/>
        <v>photography</v>
      </c>
      <c r="R1789" t="str">
        <f t="shared" si="205"/>
        <v>photobooks</v>
      </c>
      <c r="S1789" s="9">
        <f t="shared" si="202"/>
        <v>42068.447187499994</v>
      </c>
      <c r="T1789" s="9">
        <f t="shared" si="203"/>
        <v>42098.40552083333</v>
      </c>
    </row>
    <row r="1790" spans="1:20" ht="29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200"/>
        <v>1.3818181818181818E-2</v>
      </c>
      <c r="P1790">
        <f t="shared" si="201"/>
        <v>2788</v>
      </c>
      <c r="Q1790" t="str">
        <f t="shared" si="204"/>
        <v>photography</v>
      </c>
      <c r="R1790" t="str">
        <f t="shared" si="205"/>
        <v>photobooks</v>
      </c>
      <c r="S1790" s="9">
        <f t="shared" si="202"/>
        <v>41913.740069444444</v>
      </c>
      <c r="T1790" s="9">
        <f t="shared" si="203"/>
        <v>41943.740069444444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200"/>
        <v>5.0000000000000001E-3</v>
      </c>
      <c r="P1791">
        <f t="shared" si="201"/>
        <v>4020</v>
      </c>
      <c r="Q1791" t="str">
        <f t="shared" si="204"/>
        <v>photography</v>
      </c>
      <c r="R1791" t="str">
        <f t="shared" si="205"/>
        <v>photobooks</v>
      </c>
      <c r="S1791" s="9">
        <f t="shared" si="202"/>
        <v>41956.041701388887</v>
      </c>
      <c r="T1791" s="9">
        <f t="shared" si="203"/>
        <v>42016.041701388887</v>
      </c>
    </row>
    <row r="1792" spans="1:20" ht="29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200"/>
        <v>4.9575757575757579E-2</v>
      </c>
      <c r="P1792">
        <f t="shared" si="201"/>
        <v>17318</v>
      </c>
      <c r="Q1792" t="str">
        <f t="shared" si="204"/>
        <v>photography</v>
      </c>
      <c r="R1792" t="str">
        <f t="shared" si="205"/>
        <v>photobooks</v>
      </c>
      <c r="S1792" s="9">
        <f t="shared" si="202"/>
        <v>42010.466180555552</v>
      </c>
      <c r="T1792" s="9">
        <f t="shared" si="203"/>
        <v>42040.466180555552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200"/>
        <v>3.5666666666666666E-2</v>
      </c>
      <c r="P1793">
        <f t="shared" si="201"/>
        <v>1553.5</v>
      </c>
      <c r="Q1793" t="str">
        <f t="shared" si="204"/>
        <v>photography</v>
      </c>
      <c r="R1793" t="str">
        <f t="shared" si="205"/>
        <v>photobooks</v>
      </c>
      <c r="S1793" s="9">
        <f t="shared" si="202"/>
        <v>41973.532002314816</v>
      </c>
      <c r="T1793" s="9">
        <f t="shared" si="203"/>
        <v>42033.532002314816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200"/>
        <v>0.61124000000000001</v>
      </c>
      <c r="P1794">
        <f t="shared" si="201"/>
        <v>20140.5</v>
      </c>
      <c r="Q1794" t="str">
        <f t="shared" si="204"/>
        <v>photography</v>
      </c>
      <c r="R1794" t="str">
        <f t="shared" si="205"/>
        <v>photobooks</v>
      </c>
      <c r="S1794" s="9">
        <f t="shared" si="202"/>
        <v>42188.822708333326</v>
      </c>
      <c r="T1794" s="9">
        <f t="shared" si="203"/>
        <v>42226.082638888889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206">E1795/D1795</f>
        <v>1.3333333333333334E-2</v>
      </c>
      <c r="P1795">
        <f t="shared" ref="P1795:P1858" si="207">AVERAGE(D1795:E1795)</f>
        <v>1520</v>
      </c>
      <c r="Q1795" t="str">
        <f t="shared" si="204"/>
        <v>photography</v>
      </c>
      <c r="R1795" t="str">
        <f t="shared" si="205"/>
        <v>photobooks</v>
      </c>
      <c r="S1795" s="9">
        <f t="shared" ref="S1795:S1858" si="208">J1795/86400+25569+(-5/24)</f>
        <v>41940.683333333327</v>
      </c>
      <c r="T1795" s="9">
        <f t="shared" si="203"/>
        <v>41970.724999999999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206"/>
        <v>0.11077777777777778</v>
      </c>
      <c r="P1796">
        <f t="shared" si="207"/>
        <v>4998.5</v>
      </c>
      <c r="Q1796" t="str">
        <f t="shared" si="204"/>
        <v>photography</v>
      </c>
      <c r="R1796" t="str">
        <f t="shared" si="205"/>
        <v>photobooks</v>
      </c>
      <c r="S1796" s="9">
        <f t="shared" si="208"/>
        <v>42011.342847222222</v>
      </c>
      <c r="T1796" s="9">
        <f t="shared" ref="T1796:T1859" si="209">I1796/86400+25569+(-5/24)</f>
        <v>42046.342847222222</v>
      </c>
    </row>
    <row r="1797" spans="1:20" ht="29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206"/>
        <v>0.38735714285714284</v>
      </c>
      <c r="P1797">
        <f t="shared" si="207"/>
        <v>19423</v>
      </c>
      <c r="Q1797" t="str">
        <f t="shared" si="204"/>
        <v>photography</v>
      </c>
      <c r="R1797" t="str">
        <f t="shared" si="205"/>
        <v>photobooks</v>
      </c>
      <c r="S1797" s="9">
        <f t="shared" si="208"/>
        <v>42628.080335648141</v>
      </c>
      <c r="T1797" s="9">
        <f t="shared" si="209"/>
        <v>42657.458333333336</v>
      </c>
    </row>
    <row r="1798" spans="1:20" ht="43.5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206"/>
        <v>0.22052631578947368</v>
      </c>
      <c r="P1798">
        <f t="shared" si="207"/>
        <v>11595</v>
      </c>
      <c r="Q1798" t="str">
        <f t="shared" si="204"/>
        <v>photography</v>
      </c>
      <c r="R1798" t="str">
        <f t="shared" si="205"/>
        <v>photobooks</v>
      </c>
      <c r="S1798" s="9">
        <f t="shared" si="208"/>
        <v>42515.231087962959</v>
      </c>
      <c r="T1798" s="9">
        <f t="shared" si="209"/>
        <v>42575.231087962959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206"/>
        <v>0.67549999999999999</v>
      </c>
      <c r="P1799">
        <f t="shared" si="207"/>
        <v>8377.5</v>
      </c>
      <c r="Q1799" t="str">
        <f t="shared" si="204"/>
        <v>photography</v>
      </c>
      <c r="R1799" t="str">
        <f t="shared" si="205"/>
        <v>photobooks</v>
      </c>
      <c r="S1799" s="9">
        <f t="shared" si="208"/>
        <v>42689.360983796294</v>
      </c>
      <c r="T1799" s="9">
        <f t="shared" si="209"/>
        <v>42719.360983796294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206"/>
        <v>0.136375</v>
      </c>
      <c r="P1800">
        <f t="shared" si="207"/>
        <v>9091</v>
      </c>
      <c r="Q1800" t="str">
        <f t="shared" si="204"/>
        <v>photography</v>
      </c>
      <c r="R1800" t="str">
        <f t="shared" si="205"/>
        <v>photobooks</v>
      </c>
      <c r="S1800" s="9">
        <f t="shared" si="208"/>
        <v>42344.118437499994</v>
      </c>
      <c r="T1800" s="9">
        <f t="shared" si="209"/>
        <v>42404.118437499994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206"/>
        <v>1.7457500000000001E-2</v>
      </c>
      <c r="P1801">
        <f t="shared" si="207"/>
        <v>2034.915</v>
      </c>
      <c r="Q1801" t="str">
        <f t="shared" si="204"/>
        <v>photography</v>
      </c>
      <c r="R1801" t="str">
        <f t="shared" si="205"/>
        <v>photobooks</v>
      </c>
      <c r="S1801" s="9">
        <f t="shared" si="208"/>
        <v>41934.634351851848</v>
      </c>
      <c r="T1801" s="9">
        <f t="shared" si="209"/>
        <v>41954.676018518519</v>
      </c>
    </row>
    <row r="1802" spans="1:20" ht="43.5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206"/>
        <v>0.20449632511889321</v>
      </c>
      <c r="P1802">
        <f t="shared" si="207"/>
        <v>27860</v>
      </c>
      <c r="Q1802" t="str">
        <f t="shared" si="204"/>
        <v>photography</v>
      </c>
      <c r="R1802" t="str">
        <f t="shared" si="205"/>
        <v>photobooks</v>
      </c>
      <c r="S1802" s="9">
        <f t="shared" si="208"/>
        <v>42623.397800925923</v>
      </c>
      <c r="T1802" s="9">
        <f t="shared" si="209"/>
        <v>42653.397800925923</v>
      </c>
    </row>
    <row r="1803" spans="1:20" ht="43.5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206"/>
        <v>0.13852941176470587</v>
      </c>
      <c r="P1803">
        <f t="shared" si="207"/>
        <v>9677.5</v>
      </c>
      <c r="Q1803" t="str">
        <f t="shared" si="204"/>
        <v>photography</v>
      </c>
      <c r="R1803" t="str">
        <f t="shared" si="205"/>
        <v>photobooks</v>
      </c>
      <c r="S1803" s="9">
        <f t="shared" si="208"/>
        <v>42321.452175925922</v>
      </c>
      <c r="T1803" s="9">
        <f t="shared" si="209"/>
        <v>42353.298611111109</v>
      </c>
    </row>
    <row r="1804" spans="1:20" ht="29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206"/>
        <v>0.48485714285714288</v>
      </c>
      <c r="P1804">
        <f t="shared" si="207"/>
        <v>2598.5</v>
      </c>
      <c r="Q1804" t="str">
        <f t="shared" si="204"/>
        <v>photography</v>
      </c>
      <c r="R1804" t="str">
        <f t="shared" si="205"/>
        <v>photobooks</v>
      </c>
      <c r="S1804" s="9">
        <f t="shared" si="208"/>
        <v>42159.264236111114</v>
      </c>
      <c r="T1804" s="9">
        <f t="shared" si="209"/>
        <v>42182.707638888889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206"/>
        <v>0.308</v>
      </c>
      <c r="P1805">
        <f t="shared" si="207"/>
        <v>11445</v>
      </c>
      <c r="Q1805" t="str">
        <f t="shared" si="204"/>
        <v>photography</v>
      </c>
      <c r="R1805" t="str">
        <f t="shared" si="205"/>
        <v>photobooks</v>
      </c>
      <c r="S1805" s="9">
        <f t="shared" si="208"/>
        <v>42017.863217592589</v>
      </c>
      <c r="T1805" s="9">
        <f t="shared" si="209"/>
        <v>42048.863217592589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206"/>
        <v>0.35174193548387095</v>
      </c>
      <c r="P1806">
        <f t="shared" si="207"/>
        <v>10476</v>
      </c>
      <c r="Q1806" t="str">
        <f t="shared" si="204"/>
        <v>photography</v>
      </c>
      <c r="R1806" t="str">
        <f t="shared" si="205"/>
        <v>photobooks</v>
      </c>
      <c r="S1806" s="9">
        <f t="shared" si="208"/>
        <v>42282.469953703701</v>
      </c>
      <c r="T1806" s="9">
        <f t="shared" si="209"/>
        <v>42322.511620370373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206"/>
        <v>0.36404444444444445</v>
      </c>
      <c r="P1807">
        <f t="shared" si="207"/>
        <v>15345.5</v>
      </c>
      <c r="Q1807" t="str">
        <f t="shared" si="204"/>
        <v>photography</v>
      </c>
      <c r="R1807" t="str">
        <f t="shared" si="205"/>
        <v>photobooks</v>
      </c>
      <c r="S1807" s="9">
        <f t="shared" si="208"/>
        <v>42247.595578703702</v>
      </c>
      <c r="T1807" s="9">
        <f t="shared" si="209"/>
        <v>42279.541666666664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206"/>
        <v>2.955E-2</v>
      </c>
      <c r="P1808">
        <f t="shared" si="207"/>
        <v>10295.5</v>
      </c>
      <c r="Q1808" t="str">
        <f t="shared" ref="Q1808:Q1822" si="210">IF(N1808="photography/photobooks","photography")</f>
        <v>photography</v>
      </c>
      <c r="R1808" t="str">
        <f t="shared" ref="R1808:R1822" si="211">IF(N1808="photography/photobooks","photobooks")</f>
        <v>photobooks</v>
      </c>
      <c r="S1808" s="9">
        <f t="shared" si="208"/>
        <v>41877.429965277777</v>
      </c>
      <c r="T1808" s="9">
        <f t="shared" si="209"/>
        <v>41912.429965277777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206"/>
        <v>0.1106</v>
      </c>
      <c r="P1809">
        <f t="shared" si="207"/>
        <v>2776.5</v>
      </c>
      <c r="Q1809" t="str">
        <f t="shared" si="210"/>
        <v>photography</v>
      </c>
      <c r="R1809" t="str">
        <f t="shared" si="211"/>
        <v>photobooks</v>
      </c>
      <c r="S1809" s="9">
        <f t="shared" si="208"/>
        <v>41879.860104166662</v>
      </c>
      <c r="T1809" s="9">
        <f t="shared" si="209"/>
        <v>41909.860104166662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206"/>
        <v>0.41407142857142859</v>
      </c>
      <c r="P1810">
        <f t="shared" si="207"/>
        <v>19797</v>
      </c>
      <c r="Q1810" t="str">
        <f t="shared" si="210"/>
        <v>photography</v>
      </c>
      <c r="R1810" t="str">
        <f t="shared" si="211"/>
        <v>photobooks</v>
      </c>
      <c r="S1810" s="9">
        <f t="shared" si="208"/>
        <v>42742.472569444442</v>
      </c>
      <c r="T1810" s="9">
        <f t="shared" si="209"/>
        <v>42777.472569444442</v>
      </c>
    </row>
    <row r="1811" spans="1:20" ht="29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206"/>
        <v>0.10857142857142857</v>
      </c>
      <c r="P1811">
        <f t="shared" si="207"/>
        <v>1940</v>
      </c>
      <c r="Q1811" t="str">
        <f t="shared" si="210"/>
        <v>photography</v>
      </c>
      <c r="R1811" t="str">
        <f t="shared" si="211"/>
        <v>photobooks</v>
      </c>
      <c r="S1811" s="9">
        <f t="shared" si="208"/>
        <v>42029.699525462966</v>
      </c>
      <c r="T1811" s="9">
        <f t="shared" si="209"/>
        <v>42064.699525462966</v>
      </c>
    </row>
    <row r="1812" spans="1:20" ht="29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206"/>
        <v>3.3333333333333333E-2</v>
      </c>
      <c r="P1812">
        <f t="shared" si="207"/>
        <v>232.5</v>
      </c>
      <c r="Q1812" t="str">
        <f t="shared" si="210"/>
        <v>photography</v>
      </c>
      <c r="R1812" t="str">
        <f t="shared" si="211"/>
        <v>photobooks</v>
      </c>
      <c r="S1812" s="9">
        <f t="shared" si="208"/>
        <v>41860.701689814814</v>
      </c>
      <c r="T1812" s="9">
        <f t="shared" si="209"/>
        <v>41872.701689814814</v>
      </c>
    </row>
    <row r="1813" spans="1:20" ht="29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206"/>
        <v>7.407407407407407E-4</v>
      </c>
      <c r="P1813">
        <f t="shared" si="207"/>
        <v>27020</v>
      </c>
      <c r="Q1813" t="str">
        <f t="shared" si="210"/>
        <v>photography</v>
      </c>
      <c r="R1813" t="str">
        <f t="shared" si="211"/>
        <v>photobooks</v>
      </c>
      <c r="S1813" s="9">
        <f t="shared" si="208"/>
        <v>41876.225347222222</v>
      </c>
      <c r="T1813" s="9">
        <f t="shared" si="209"/>
        <v>41935.958333333328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206"/>
        <v>0.13307692307692306</v>
      </c>
      <c r="P1814">
        <f t="shared" si="207"/>
        <v>3682.5</v>
      </c>
      <c r="Q1814" t="str">
        <f t="shared" si="210"/>
        <v>photography</v>
      </c>
      <c r="R1814" t="str">
        <f t="shared" si="211"/>
        <v>photobooks</v>
      </c>
      <c r="S1814" s="9">
        <f t="shared" si="208"/>
        <v>42524.110370370363</v>
      </c>
      <c r="T1814" s="9">
        <f t="shared" si="209"/>
        <v>42554.110370370363</v>
      </c>
    </row>
    <row r="1815" spans="1:20" ht="29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206"/>
        <v>0</v>
      </c>
      <c r="P1815">
        <f t="shared" si="207"/>
        <v>4375</v>
      </c>
      <c r="Q1815" t="str">
        <f t="shared" si="210"/>
        <v>photography</v>
      </c>
      <c r="R1815" t="str">
        <f t="shared" si="211"/>
        <v>photobooks</v>
      </c>
      <c r="S1815" s="9">
        <f t="shared" si="208"/>
        <v>41829.68069444444</v>
      </c>
      <c r="T1815" s="9">
        <f t="shared" si="209"/>
        <v>41859.68069444444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206"/>
        <v>0.49183333333333334</v>
      </c>
      <c r="P1816">
        <f t="shared" si="207"/>
        <v>8951</v>
      </c>
      <c r="Q1816" t="str">
        <f t="shared" si="210"/>
        <v>photography</v>
      </c>
      <c r="R1816" t="str">
        <f t="shared" si="211"/>
        <v>photobooks</v>
      </c>
      <c r="S1816" s="9">
        <f t="shared" si="208"/>
        <v>42033.105740740742</v>
      </c>
      <c r="T1816" s="9">
        <f t="shared" si="209"/>
        <v>42063.105740740742</v>
      </c>
    </row>
    <row r="1817" spans="1:20" ht="43.5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206"/>
        <v>0</v>
      </c>
      <c r="P1817">
        <f t="shared" si="207"/>
        <v>1500</v>
      </c>
      <c r="Q1817" t="str">
        <f t="shared" si="210"/>
        <v>photography</v>
      </c>
      <c r="R1817" t="str">
        <f t="shared" si="211"/>
        <v>photobooks</v>
      </c>
      <c r="S1817" s="9">
        <f t="shared" si="208"/>
        <v>42172.698344907403</v>
      </c>
      <c r="T1817" s="9">
        <f t="shared" si="209"/>
        <v>42186.698344907403</v>
      </c>
    </row>
    <row r="1818" spans="1:20" ht="29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206"/>
        <v>2.036E-2</v>
      </c>
      <c r="P1818">
        <f t="shared" si="207"/>
        <v>12754.5</v>
      </c>
      <c r="Q1818" t="str">
        <f t="shared" si="210"/>
        <v>photography</v>
      </c>
      <c r="R1818" t="str">
        <f t="shared" si="211"/>
        <v>photobooks</v>
      </c>
      <c r="S1818" s="9">
        <f t="shared" si="208"/>
        <v>42548.667858796289</v>
      </c>
      <c r="T1818" s="9">
        <f t="shared" si="209"/>
        <v>42576.583333333336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206"/>
        <v>0.52327777777777773</v>
      </c>
      <c r="P1819">
        <f t="shared" si="207"/>
        <v>13709.5</v>
      </c>
      <c r="Q1819" t="str">
        <f t="shared" si="210"/>
        <v>photography</v>
      </c>
      <c r="R1819" t="str">
        <f t="shared" si="211"/>
        <v>photobooks</v>
      </c>
      <c r="S1819" s="9">
        <f t="shared" si="208"/>
        <v>42705.453784722216</v>
      </c>
      <c r="T1819" s="9">
        <f t="shared" si="209"/>
        <v>42765.082638888889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206"/>
        <v>0</v>
      </c>
      <c r="P1820">
        <f t="shared" si="207"/>
        <v>7500</v>
      </c>
      <c r="Q1820" t="str">
        <f t="shared" si="210"/>
        <v>photography</v>
      </c>
      <c r="R1820" t="str">
        <f t="shared" si="211"/>
        <v>photobooks</v>
      </c>
      <c r="S1820" s="9">
        <f t="shared" si="208"/>
        <v>42067.026041666664</v>
      </c>
      <c r="T1820" s="9">
        <f t="shared" si="209"/>
        <v>42096.984374999993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206"/>
        <v>2.0833333333333332E-2</v>
      </c>
      <c r="P1821">
        <f t="shared" si="207"/>
        <v>612.5</v>
      </c>
      <c r="Q1821" t="str">
        <f t="shared" si="210"/>
        <v>photography</v>
      </c>
      <c r="R1821" t="str">
        <f t="shared" si="211"/>
        <v>photobooks</v>
      </c>
      <c r="S1821" s="9">
        <f t="shared" si="208"/>
        <v>41820.543935185182</v>
      </c>
      <c r="T1821" s="9">
        <f t="shared" si="209"/>
        <v>41850.543935185182</v>
      </c>
    </row>
    <row r="1822" spans="1:20" ht="43.5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206"/>
        <v>6.565384615384616E-2</v>
      </c>
      <c r="P1822">
        <f t="shared" si="207"/>
        <v>13853.5</v>
      </c>
      <c r="Q1822" t="str">
        <f t="shared" si="210"/>
        <v>photography</v>
      </c>
      <c r="R1822" t="str">
        <f t="shared" si="211"/>
        <v>photobooks</v>
      </c>
      <c r="S1822" s="9">
        <f t="shared" si="208"/>
        <v>42064.876041666663</v>
      </c>
      <c r="T1822" s="9">
        <f t="shared" si="209"/>
        <v>42094.834374999999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206"/>
        <v>1.3489</v>
      </c>
      <c r="P1823">
        <f t="shared" si="207"/>
        <v>2936.125</v>
      </c>
      <c r="Q1823" t="str">
        <f>IF(N1823="music/rock","music")</f>
        <v>music</v>
      </c>
      <c r="R1823" t="str">
        <f>IF(N1823="music/rock","rock")</f>
        <v>rock</v>
      </c>
      <c r="S1823" s="9">
        <f t="shared" si="208"/>
        <v>40926.110729166663</v>
      </c>
      <c r="T1823" s="9">
        <f t="shared" si="209"/>
        <v>40971.110729166663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206"/>
        <v>1</v>
      </c>
      <c r="P1824">
        <f t="shared" si="207"/>
        <v>300</v>
      </c>
      <c r="Q1824" t="str">
        <f t="shared" ref="Q1824:Q1862" si="212">IF(N1824="music/rock","music")</f>
        <v>music</v>
      </c>
      <c r="R1824" t="str">
        <f t="shared" ref="R1824:R1862" si="213">IF(N1824="music/rock","rock")</f>
        <v>rock</v>
      </c>
      <c r="S1824" s="9">
        <f t="shared" si="208"/>
        <v>41634.588680555556</v>
      </c>
      <c r="T1824" s="9">
        <f t="shared" si="209"/>
        <v>41670.584027777775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206"/>
        <v>1.1585714285714286</v>
      </c>
      <c r="P1825">
        <f t="shared" si="207"/>
        <v>755.5</v>
      </c>
      <c r="Q1825" t="str">
        <f t="shared" si="212"/>
        <v>music</v>
      </c>
      <c r="R1825" t="str">
        <f t="shared" si="213"/>
        <v>rock</v>
      </c>
      <c r="S1825" s="9">
        <f t="shared" si="208"/>
        <v>41176.47657407407</v>
      </c>
      <c r="T1825" s="9">
        <f t="shared" si="209"/>
        <v>41206.47657407407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206"/>
        <v>1.0006666666666666</v>
      </c>
      <c r="P1826">
        <f t="shared" si="207"/>
        <v>3001</v>
      </c>
      <c r="Q1826" t="str">
        <f t="shared" si="212"/>
        <v>music</v>
      </c>
      <c r="R1826" t="str">
        <f t="shared" si="213"/>
        <v>rock</v>
      </c>
      <c r="S1826" s="9">
        <f t="shared" si="208"/>
        <v>41626.707951388882</v>
      </c>
      <c r="T1826" s="9">
        <f t="shared" si="209"/>
        <v>41646.880555555552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206"/>
        <v>1.0505</v>
      </c>
      <c r="P1827">
        <f t="shared" si="207"/>
        <v>2050.5</v>
      </c>
      <c r="Q1827" t="str">
        <f t="shared" si="212"/>
        <v>music</v>
      </c>
      <c r="R1827" t="str">
        <f t="shared" si="213"/>
        <v>rock</v>
      </c>
      <c r="S1827" s="9">
        <f t="shared" si="208"/>
        <v>41443.626192129625</v>
      </c>
      <c r="T1827" s="9">
        <f t="shared" si="209"/>
        <v>41466.626192129625</v>
      </c>
    </row>
    <row r="1828" spans="1:20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206"/>
        <v>1.01</v>
      </c>
      <c r="P1828">
        <f t="shared" si="207"/>
        <v>2010</v>
      </c>
      <c r="Q1828" t="str">
        <f t="shared" si="212"/>
        <v>music</v>
      </c>
      <c r="R1828" t="str">
        <f t="shared" si="213"/>
        <v>rock</v>
      </c>
      <c r="S1828" s="9">
        <f t="shared" si="208"/>
        <v>41657.715474537035</v>
      </c>
      <c r="T1828" s="9">
        <f t="shared" si="209"/>
        <v>41687.715474537035</v>
      </c>
    </row>
    <row r="1829" spans="1:20" ht="43.5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206"/>
        <v>1.0066250000000001</v>
      </c>
      <c r="P1829">
        <f t="shared" si="207"/>
        <v>8026.5</v>
      </c>
      <c r="Q1829" t="str">
        <f t="shared" si="212"/>
        <v>music</v>
      </c>
      <c r="R1829" t="str">
        <f t="shared" si="213"/>
        <v>rock</v>
      </c>
      <c r="S1829" s="9">
        <f t="shared" si="208"/>
        <v>40555.117604166662</v>
      </c>
      <c r="T1829" s="9">
        <f t="shared" si="209"/>
        <v>40605.117604166662</v>
      </c>
    </row>
    <row r="1830" spans="1:20" ht="43.5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206"/>
        <v>1.0016</v>
      </c>
      <c r="P1830">
        <f t="shared" si="207"/>
        <v>20016</v>
      </c>
      <c r="Q1830" t="str">
        <f t="shared" si="212"/>
        <v>music</v>
      </c>
      <c r="R1830" t="str">
        <f t="shared" si="213"/>
        <v>rock</v>
      </c>
      <c r="S1830" s="9">
        <f t="shared" si="208"/>
        <v>41736.691319444442</v>
      </c>
      <c r="T1830" s="9">
        <f t="shared" si="209"/>
        <v>41768.708333333328</v>
      </c>
    </row>
    <row r="1831" spans="1:20" ht="29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206"/>
        <v>1.6668333333333334</v>
      </c>
      <c r="P1831">
        <f t="shared" si="207"/>
        <v>2000.125</v>
      </c>
      <c r="Q1831" t="str">
        <f t="shared" si="212"/>
        <v>music</v>
      </c>
      <c r="R1831" t="str">
        <f t="shared" si="213"/>
        <v>rock</v>
      </c>
      <c r="S1831" s="9">
        <f t="shared" si="208"/>
        <v>40515.879293981481</v>
      </c>
      <c r="T1831" s="9">
        <f t="shared" si="209"/>
        <v>40564.708333333328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206"/>
        <v>1.0153333333333334</v>
      </c>
      <c r="P1832">
        <f t="shared" si="207"/>
        <v>15115</v>
      </c>
      <c r="Q1832" t="str">
        <f t="shared" si="212"/>
        <v>music</v>
      </c>
      <c r="R1832" t="str">
        <f t="shared" si="213"/>
        <v>rock</v>
      </c>
      <c r="S1832" s="9">
        <f t="shared" si="208"/>
        <v>41664.475775462961</v>
      </c>
      <c r="T1832" s="9">
        <f t="shared" si="209"/>
        <v>41694.475775462961</v>
      </c>
    </row>
    <row r="1833" spans="1:20" ht="29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206"/>
        <v>1.03</v>
      </c>
      <c r="P1833">
        <f t="shared" si="207"/>
        <v>1015</v>
      </c>
      <c r="Q1833" t="str">
        <f t="shared" si="212"/>
        <v>music</v>
      </c>
      <c r="R1833" t="str">
        <f t="shared" si="213"/>
        <v>rock</v>
      </c>
      <c r="S1833" s="9">
        <f t="shared" si="208"/>
        <v>41026.787766203699</v>
      </c>
      <c r="T1833" s="9">
        <f t="shared" si="209"/>
        <v>41041.787766203699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206"/>
        <v>1.4285714285714286</v>
      </c>
      <c r="P1834">
        <f t="shared" si="207"/>
        <v>425</v>
      </c>
      <c r="Q1834" t="str">
        <f t="shared" si="212"/>
        <v>music</v>
      </c>
      <c r="R1834" t="str">
        <f t="shared" si="213"/>
        <v>rock</v>
      </c>
      <c r="S1834" s="9">
        <f t="shared" si="208"/>
        <v>40576.331331018519</v>
      </c>
      <c r="T1834" s="9">
        <f t="shared" si="209"/>
        <v>40606.331331018519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206"/>
        <v>2.625</v>
      </c>
      <c r="P1835">
        <f t="shared" si="207"/>
        <v>725</v>
      </c>
      <c r="Q1835" t="str">
        <f t="shared" si="212"/>
        <v>music</v>
      </c>
      <c r="R1835" t="str">
        <f t="shared" si="213"/>
        <v>rock</v>
      </c>
      <c r="S1835" s="9">
        <f t="shared" si="208"/>
        <v>41302.835682870369</v>
      </c>
      <c r="T1835" s="9">
        <f t="shared" si="209"/>
        <v>41335.124305555553</v>
      </c>
    </row>
    <row r="1836" spans="1:20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206"/>
        <v>1.1805000000000001</v>
      </c>
      <c r="P1836">
        <f t="shared" si="207"/>
        <v>10902.5</v>
      </c>
      <c r="Q1836" t="str">
        <f t="shared" si="212"/>
        <v>music</v>
      </c>
      <c r="R1836" t="str">
        <f t="shared" si="213"/>
        <v>rock</v>
      </c>
      <c r="S1836" s="9">
        <f t="shared" si="208"/>
        <v>41988.755729166667</v>
      </c>
      <c r="T1836" s="9">
        <f t="shared" si="209"/>
        <v>42028.755729166667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206"/>
        <v>1.04</v>
      </c>
      <c r="P1837">
        <f t="shared" si="207"/>
        <v>510</v>
      </c>
      <c r="Q1837" t="str">
        <f t="shared" si="212"/>
        <v>music</v>
      </c>
      <c r="R1837" t="str">
        <f t="shared" si="213"/>
        <v>rock</v>
      </c>
      <c r="S1837" s="9">
        <f t="shared" si="208"/>
        <v>42430.49387731481</v>
      </c>
      <c r="T1837" s="9">
        <f t="shared" si="209"/>
        <v>42460.452210648145</v>
      </c>
    </row>
    <row r="1838" spans="1:20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206"/>
        <v>2.0034000000000001</v>
      </c>
      <c r="P1838">
        <f t="shared" si="207"/>
        <v>7508.5</v>
      </c>
      <c r="Q1838" t="str">
        <f t="shared" si="212"/>
        <v>music</v>
      </c>
      <c r="R1838" t="str">
        <f t="shared" si="213"/>
        <v>rock</v>
      </c>
      <c r="S1838" s="9">
        <f t="shared" si="208"/>
        <v>41305.601030092592</v>
      </c>
      <c r="T1838" s="9">
        <f t="shared" si="209"/>
        <v>41322.601030092592</v>
      </c>
    </row>
    <row r="1839" spans="1:20" ht="43.5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206"/>
        <v>3.0683333333333334</v>
      </c>
      <c r="P1839">
        <f t="shared" si="207"/>
        <v>1220.5</v>
      </c>
      <c r="Q1839" t="str">
        <f t="shared" si="212"/>
        <v>music</v>
      </c>
      <c r="R1839" t="str">
        <f t="shared" si="213"/>
        <v>rock</v>
      </c>
      <c r="S1839" s="9">
        <f t="shared" si="208"/>
        <v>40925.839525462965</v>
      </c>
      <c r="T1839" s="9">
        <f t="shared" si="209"/>
        <v>40985.797858796293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206"/>
        <v>1.00149</v>
      </c>
      <c r="P1840">
        <f t="shared" si="207"/>
        <v>1000.745</v>
      </c>
      <c r="Q1840" t="str">
        <f t="shared" si="212"/>
        <v>music</v>
      </c>
      <c r="R1840" t="str">
        <f t="shared" si="213"/>
        <v>rock</v>
      </c>
      <c r="S1840" s="9">
        <f t="shared" si="208"/>
        <v>40788.578206018516</v>
      </c>
      <c r="T1840" s="9">
        <f t="shared" si="209"/>
        <v>40816.916666666664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206"/>
        <v>2.0529999999999999</v>
      </c>
      <c r="P1841">
        <f t="shared" si="207"/>
        <v>1526.5</v>
      </c>
      <c r="Q1841" t="str">
        <f t="shared" si="212"/>
        <v>music</v>
      </c>
      <c r="R1841" t="str">
        <f t="shared" si="213"/>
        <v>rock</v>
      </c>
      <c r="S1841" s="9">
        <f t="shared" si="208"/>
        <v>42614.513680555552</v>
      </c>
      <c r="T1841" s="9">
        <f t="shared" si="209"/>
        <v>42644.513680555552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206"/>
        <v>1.0888888888888888</v>
      </c>
      <c r="P1842">
        <f t="shared" si="207"/>
        <v>940</v>
      </c>
      <c r="Q1842" t="str">
        <f t="shared" si="212"/>
        <v>music</v>
      </c>
      <c r="R1842" t="str">
        <f t="shared" si="213"/>
        <v>rock</v>
      </c>
      <c r="S1842" s="9">
        <f t="shared" si="208"/>
        <v>41381.88784722222</v>
      </c>
      <c r="T1842" s="9">
        <f t="shared" si="209"/>
        <v>41400.999305555553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206"/>
        <v>1.0175000000000001</v>
      </c>
      <c r="P1843">
        <f t="shared" si="207"/>
        <v>2017.5</v>
      </c>
      <c r="Q1843" t="str">
        <f t="shared" si="212"/>
        <v>music</v>
      </c>
      <c r="R1843" t="str">
        <f t="shared" si="213"/>
        <v>rock</v>
      </c>
      <c r="S1843" s="9">
        <f t="shared" si="208"/>
        <v>41745.637094907404</v>
      </c>
      <c r="T1843" s="9">
        <f t="shared" si="209"/>
        <v>41778.999305555553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206"/>
        <v>1.2524999999999999</v>
      </c>
      <c r="P1844">
        <f t="shared" si="207"/>
        <v>2252.5</v>
      </c>
      <c r="Q1844" t="str">
        <f t="shared" si="212"/>
        <v>music</v>
      </c>
      <c r="R1844" t="str">
        <f t="shared" si="213"/>
        <v>rock</v>
      </c>
      <c r="S1844" s="9">
        <f t="shared" si="208"/>
        <v>42031.423391203702</v>
      </c>
      <c r="T1844" s="9">
        <f t="shared" si="209"/>
        <v>42065.040972222218</v>
      </c>
    </row>
    <row r="1845" spans="1:20" ht="43.5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206"/>
        <v>1.2400610000000001</v>
      </c>
      <c r="P1845">
        <f t="shared" si="207"/>
        <v>11200.305</v>
      </c>
      <c r="Q1845" t="str">
        <f t="shared" si="212"/>
        <v>music</v>
      </c>
      <c r="R1845" t="str">
        <f t="shared" si="213"/>
        <v>rock</v>
      </c>
      <c r="S1845" s="9">
        <f t="shared" si="208"/>
        <v>40564.786504629628</v>
      </c>
      <c r="T1845" s="9">
        <f t="shared" si="209"/>
        <v>40594.786504629628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206"/>
        <v>1.014</v>
      </c>
      <c r="P1846">
        <f t="shared" si="207"/>
        <v>1510.5</v>
      </c>
      <c r="Q1846" t="str">
        <f t="shared" si="212"/>
        <v>music</v>
      </c>
      <c r="R1846" t="str">
        <f t="shared" si="213"/>
        <v>rock</v>
      </c>
      <c r="S1846" s="9">
        <f t="shared" si="208"/>
        <v>40666.765208333331</v>
      </c>
      <c r="T1846" s="9">
        <f t="shared" si="209"/>
        <v>40704.916666666664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206"/>
        <v>1</v>
      </c>
      <c r="P1847">
        <f t="shared" si="207"/>
        <v>1000</v>
      </c>
      <c r="Q1847" t="str">
        <f t="shared" si="212"/>
        <v>music</v>
      </c>
      <c r="R1847" t="str">
        <f t="shared" si="213"/>
        <v>rock</v>
      </c>
      <c r="S1847" s="9">
        <f t="shared" si="208"/>
        <v>42523.124976851854</v>
      </c>
      <c r="T1847" s="9">
        <f t="shared" si="209"/>
        <v>42537.996527777774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206"/>
        <v>1.3792666666666666</v>
      </c>
      <c r="P1848">
        <f t="shared" si="207"/>
        <v>17844.5</v>
      </c>
      <c r="Q1848" t="str">
        <f t="shared" si="212"/>
        <v>music</v>
      </c>
      <c r="R1848" t="str">
        <f t="shared" si="213"/>
        <v>rock</v>
      </c>
      <c r="S1848" s="9">
        <f t="shared" si="208"/>
        <v>41228.441863425927</v>
      </c>
      <c r="T1848" s="9">
        <f t="shared" si="209"/>
        <v>41258.441863425927</v>
      </c>
    </row>
    <row r="1849" spans="1:20" ht="43.5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206"/>
        <v>1.2088000000000001</v>
      </c>
      <c r="P1849">
        <f t="shared" si="207"/>
        <v>2761</v>
      </c>
      <c r="Q1849" t="str">
        <f t="shared" si="212"/>
        <v>music</v>
      </c>
      <c r="R1849" t="str">
        <f t="shared" si="213"/>
        <v>rock</v>
      </c>
      <c r="S1849" s="9">
        <f t="shared" si="208"/>
        <v>42094.028148148143</v>
      </c>
      <c r="T1849" s="9">
        <f t="shared" si="209"/>
        <v>42115.028148148143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206"/>
        <v>1.0736666666666668</v>
      </c>
      <c r="P1850">
        <f t="shared" si="207"/>
        <v>3110.5</v>
      </c>
      <c r="Q1850" t="str">
        <f t="shared" si="212"/>
        <v>music</v>
      </c>
      <c r="R1850" t="str">
        <f t="shared" si="213"/>
        <v>rock</v>
      </c>
      <c r="S1850" s="9">
        <f t="shared" si="208"/>
        <v>40691.579722222217</v>
      </c>
      <c r="T1850" s="9">
        <f t="shared" si="209"/>
        <v>40755.082638888889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206"/>
        <v>1.0033333333333334</v>
      </c>
      <c r="P1851">
        <f t="shared" si="207"/>
        <v>300.5</v>
      </c>
      <c r="Q1851" t="str">
        <f t="shared" si="212"/>
        <v>music</v>
      </c>
      <c r="R1851" t="str">
        <f t="shared" si="213"/>
        <v>rock</v>
      </c>
      <c r="S1851" s="9">
        <f t="shared" si="208"/>
        <v>41169.637256944443</v>
      </c>
      <c r="T1851" s="9">
        <f t="shared" si="209"/>
        <v>41199.637256944443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206"/>
        <v>1.0152222222222222</v>
      </c>
      <c r="P1852">
        <f t="shared" si="207"/>
        <v>9068.5</v>
      </c>
      <c r="Q1852" t="str">
        <f t="shared" si="212"/>
        <v>music</v>
      </c>
      <c r="R1852" t="str">
        <f t="shared" si="213"/>
        <v>rock</v>
      </c>
      <c r="S1852" s="9">
        <f t="shared" si="208"/>
        <v>41800.751157407409</v>
      </c>
      <c r="T1852" s="9">
        <f t="shared" si="209"/>
        <v>41830.751157407409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206"/>
        <v>1.0007692307692309</v>
      </c>
      <c r="P1853">
        <f t="shared" si="207"/>
        <v>1300.5</v>
      </c>
      <c r="Q1853" t="str">
        <f t="shared" si="212"/>
        <v>music</v>
      </c>
      <c r="R1853" t="str">
        <f t="shared" si="213"/>
        <v>rock</v>
      </c>
      <c r="S1853" s="9">
        <f t="shared" si="208"/>
        <v>41827.69835648148</v>
      </c>
      <c r="T1853" s="9">
        <f t="shared" si="209"/>
        <v>41847.833333333328</v>
      </c>
    </row>
    <row r="1854" spans="1:20" ht="43.5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206"/>
        <v>1.1696666666666666</v>
      </c>
      <c r="P1854">
        <f t="shared" si="207"/>
        <v>16272.5</v>
      </c>
      <c r="Q1854" t="str">
        <f t="shared" si="212"/>
        <v>music</v>
      </c>
      <c r="R1854" t="str">
        <f t="shared" si="213"/>
        <v>rock</v>
      </c>
      <c r="S1854" s="9">
        <f t="shared" si="208"/>
        <v>42081.563101851854</v>
      </c>
      <c r="T1854" s="9">
        <f t="shared" si="209"/>
        <v>42118.791666666664</v>
      </c>
    </row>
    <row r="1855" spans="1:20" ht="43.5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206"/>
        <v>1.01875</v>
      </c>
      <c r="P1855">
        <f t="shared" si="207"/>
        <v>807.5</v>
      </c>
      <c r="Q1855" t="str">
        <f t="shared" si="212"/>
        <v>music</v>
      </c>
      <c r="R1855" t="str">
        <f t="shared" si="213"/>
        <v>rock</v>
      </c>
      <c r="S1855" s="9">
        <f t="shared" si="208"/>
        <v>41176.852048611108</v>
      </c>
      <c r="T1855" s="9">
        <f t="shared" si="209"/>
        <v>41226.893715277773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206"/>
        <v>1.0212366666666666</v>
      </c>
      <c r="P1856">
        <f t="shared" si="207"/>
        <v>15159.275</v>
      </c>
      <c r="Q1856" t="str">
        <f t="shared" si="212"/>
        <v>music</v>
      </c>
      <c r="R1856" t="str">
        <f t="shared" si="213"/>
        <v>rock</v>
      </c>
      <c r="S1856" s="9">
        <f t="shared" si="208"/>
        <v>41387.812928240739</v>
      </c>
      <c r="T1856" s="9">
        <f t="shared" si="209"/>
        <v>41417.812928240739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206"/>
        <v>1.5405897142857143</v>
      </c>
      <c r="P1857">
        <f t="shared" si="207"/>
        <v>11115.08</v>
      </c>
      <c r="Q1857" t="str">
        <f t="shared" si="212"/>
        <v>music</v>
      </c>
      <c r="R1857" t="str">
        <f t="shared" si="213"/>
        <v>rock</v>
      </c>
      <c r="S1857" s="9">
        <f t="shared" si="208"/>
        <v>41600.330324074072</v>
      </c>
      <c r="T1857" s="9">
        <f t="shared" si="209"/>
        <v>41645.330324074072</v>
      </c>
    </row>
    <row r="1858" spans="1:20" ht="43.5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206"/>
        <v>1.0125</v>
      </c>
      <c r="P1858">
        <f t="shared" si="207"/>
        <v>2012.5</v>
      </c>
      <c r="Q1858" t="str">
        <f t="shared" si="212"/>
        <v>music</v>
      </c>
      <c r="R1858" t="str">
        <f t="shared" si="213"/>
        <v>rock</v>
      </c>
      <c r="S1858" s="9">
        <f t="shared" si="208"/>
        <v>41817.64666666666</v>
      </c>
      <c r="T1858" s="9">
        <f t="shared" si="209"/>
        <v>41838.64666666666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14">E1859/D1859</f>
        <v>1</v>
      </c>
      <c r="P1859">
        <f t="shared" ref="P1859:P1922" si="215">AVERAGE(D1859:E1859)</f>
        <v>3000</v>
      </c>
      <c r="Q1859" t="str">
        <f t="shared" si="212"/>
        <v>music</v>
      </c>
      <c r="R1859" t="str">
        <f t="shared" si="213"/>
        <v>rock</v>
      </c>
      <c r="S1859" s="9">
        <f t="shared" ref="S1859:S1922" si="216">J1859/86400+25569+(-5/24)</f>
        <v>41864.560335648144</v>
      </c>
      <c r="T1859" s="9">
        <f t="shared" si="209"/>
        <v>41894.560335648144</v>
      </c>
    </row>
    <row r="1860" spans="1:20" ht="43.5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14"/>
        <v>1.0874800874800874</v>
      </c>
      <c r="P1860">
        <f t="shared" si="215"/>
        <v>5798.55</v>
      </c>
      <c r="Q1860" t="str">
        <f t="shared" si="212"/>
        <v>music</v>
      </c>
      <c r="R1860" t="str">
        <f t="shared" si="213"/>
        <v>rock</v>
      </c>
      <c r="S1860" s="9">
        <f t="shared" si="216"/>
        <v>40832.9921412037</v>
      </c>
      <c r="T1860" s="9">
        <f t="shared" ref="T1860:T1923" si="217">I1860/86400+25569+(-5/24)</f>
        <v>40893.033807870372</v>
      </c>
    </row>
    <row r="1861" spans="1:20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14"/>
        <v>1.3183333333333334</v>
      </c>
      <c r="P1861">
        <f t="shared" si="215"/>
        <v>3477.5</v>
      </c>
      <c r="Q1861" t="str">
        <f t="shared" si="212"/>
        <v>music</v>
      </c>
      <c r="R1861" t="str">
        <f t="shared" si="213"/>
        <v>rock</v>
      </c>
      <c r="S1861" s="9">
        <f t="shared" si="216"/>
        <v>40778.561678240738</v>
      </c>
      <c r="T1861" s="9">
        <f t="shared" si="217"/>
        <v>40808.561678240738</v>
      </c>
    </row>
    <row r="1862" spans="1:20" ht="29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14"/>
        <v>1.3346666666666667</v>
      </c>
      <c r="P1862">
        <f t="shared" si="215"/>
        <v>875.5</v>
      </c>
      <c r="Q1862" t="str">
        <f t="shared" si="212"/>
        <v>music</v>
      </c>
      <c r="R1862" t="str">
        <f t="shared" si="213"/>
        <v>rock</v>
      </c>
      <c r="S1862" s="9">
        <f t="shared" si="216"/>
        <v>41655.500972222224</v>
      </c>
      <c r="T1862" s="9">
        <f t="shared" si="217"/>
        <v>41676.500972222224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14"/>
        <v>0</v>
      </c>
      <c r="P1863">
        <f t="shared" si="215"/>
        <v>125000</v>
      </c>
      <c r="Q1863" t="str">
        <f>IF(N1863="games/mobile games","games")</f>
        <v>games</v>
      </c>
      <c r="R1863" t="str">
        <f>IF(N1863="games/mobile games","mobile games")</f>
        <v>mobile games</v>
      </c>
      <c r="S1863" s="9">
        <f t="shared" si="216"/>
        <v>42000.091909722221</v>
      </c>
      <c r="T1863" s="9">
        <f t="shared" si="217"/>
        <v>42030.091909722221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14"/>
        <v>8.0833333333333326E-2</v>
      </c>
      <c r="P1864">
        <f t="shared" si="215"/>
        <v>9727.5</v>
      </c>
      <c r="Q1864" t="str">
        <f t="shared" ref="Q1864:Q1882" si="218">IF(N1864="games/mobile games","games")</f>
        <v>games</v>
      </c>
      <c r="R1864" t="str">
        <f t="shared" ref="R1864:R1882" si="219">IF(N1864="games/mobile games","mobile games")</f>
        <v>mobile games</v>
      </c>
      <c r="S1864" s="9">
        <f t="shared" si="216"/>
        <v>42755.284421296295</v>
      </c>
      <c r="T1864" s="9">
        <f t="shared" si="217"/>
        <v>42802.104166666664</v>
      </c>
    </row>
    <row r="1865" spans="1:20" ht="29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14"/>
        <v>4.0000000000000001E-3</v>
      </c>
      <c r="P1865">
        <f t="shared" si="215"/>
        <v>1255</v>
      </c>
      <c r="Q1865" t="str">
        <f t="shared" si="218"/>
        <v>games</v>
      </c>
      <c r="R1865" t="str">
        <f t="shared" si="219"/>
        <v>mobile games</v>
      </c>
      <c r="S1865" s="9">
        <f t="shared" si="216"/>
        <v>41772.588946759257</v>
      </c>
      <c r="T1865" s="9">
        <f t="shared" si="217"/>
        <v>41802.588946759257</v>
      </c>
    </row>
    <row r="1866" spans="1:20" ht="43.5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14"/>
        <v>0.42892307692307691</v>
      </c>
      <c r="P1866">
        <f t="shared" si="215"/>
        <v>4644</v>
      </c>
      <c r="Q1866" t="str">
        <f t="shared" si="218"/>
        <v>games</v>
      </c>
      <c r="R1866" t="str">
        <f t="shared" si="219"/>
        <v>mobile games</v>
      </c>
      <c r="S1866" s="9">
        <f t="shared" si="216"/>
        <v>41733.508101851847</v>
      </c>
      <c r="T1866" s="9">
        <f t="shared" si="217"/>
        <v>41763.508101851847</v>
      </c>
    </row>
    <row r="1867" spans="1:20" ht="43.5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14"/>
        <v>3.6363636363636364E-5</v>
      </c>
      <c r="P1867">
        <f t="shared" si="215"/>
        <v>55002</v>
      </c>
      <c r="Q1867" t="str">
        <f t="shared" si="218"/>
        <v>games</v>
      </c>
      <c r="R1867" t="str">
        <f t="shared" si="219"/>
        <v>mobile games</v>
      </c>
      <c r="S1867" s="9">
        <f t="shared" si="216"/>
        <v>42645.159108796295</v>
      </c>
      <c r="T1867" s="9">
        <f t="shared" si="217"/>
        <v>42680.200775462959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14"/>
        <v>5.0000000000000001E-3</v>
      </c>
      <c r="P1868">
        <f t="shared" si="215"/>
        <v>12562.5</v>
      </c>
      <c r="Q1868" t="str">
        <f t="shared" si="218"/>
        <v>games</v>
      </c>
      <c r="R1868" t="str">
        <f t="shared" si="219"/>
        <v>mobile games</v>
      </c>
      <c r="S1868" s="9">
        <f t="shared" si="216"/>
        <v>42742.038159722222</v>
      </c>
      <c r="T1868" s="9">
        <f t="shared" si="217"/>
        <v>42794.958333333336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14"/>
        <v>5.0000000000000001E-4</v>
      </c>
      <c r="P1869">
        <f t="shared" si="215"/>
        <v>10005</v>
      </c>
      <c r="Q1869" t="str">
        <f t="shared" si="218"/>
        <v>games</v>
      </c>
      <c r="R1869" t="str">
        <f t="shared" si="219"/>
        <v>mobile games</v>
      </c>
      <c r="S1869" s="9">
        <f t="shared" si="216"/>
        <v>42649.716574074067</v>
      </c>
      <c r="T1869" s="9">
        <f t="shared" si="217"/>
        <v>42679.716574074067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14"/>
        <v>4.8680000000000001E-2</v>
      </c>
      <c r="P1870">
        <f t="shared" si="215"/>
        <v>13108.5</v>
      </c>
      <c r="Q1870" t="str">
        <f t="shared" si="218"/>
        <v>games</v>
      </c>
      <c r="R1870" t="str">
        <f t="shared" si="219"/>
        <v>mobile games</v>
      </c>
      <c r="S1870" s="9">
        <f t="shared" si="216"/>
        <v>42328.570891203701</v>
      </c>
      <c r="T1870" s="9">
        <f t="shared" si="217"/>
        <v>42353.124305555553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14"/>
        <v>0</v>
      </c>
      <c r="P1871">
        <f t="shared" si="215"/>
        <v>5000</v>
      </c>
      <c r="Q1871" t="str">
        <f t="shared" si="218"/>
        <v>games</v>
      </c>
      <c r="R1871" t="str">
        <f t="shared" si="219"/>
        <v>mobile games</v>
      </c>
      <c r="S1871" s="9">
        <f t="shared" si="216"/>
        <v>42708.794548611106</v>
      </c>
      <c r="T1871" s="9">
        <f t="shared" si="217"/>
        <v>42738.794548611106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14"/>
        <v>0.10314285714285715</v>
      </c>
      <c r="P1872">
        <f t="shared" si="215"/>
        <v>1930.5</v>
      </c>
      <c r="Q1872" t="str">
        <f t="shared" si="218"/>
        <v>games</v>
      </c>
      <c r="R1872" t="str">
        <f t="shared" si="219"/>
        <v>mobile games</v>
      </c>
      <c r="S1872" s="9">
        <f t="shared" si="216"/>
        <v>42371.14739583333</v>
      </c>
      <c r="T1872" s="9">
        <f t="shared" si="217"/>
        <v>42399.970138888886</v>
      </c>
    </row>
    <row r="1873" spans="1:20" ht="43.5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14"/>
        <v>0.7178461538461538</v>
      </c>
      <c r="P1873">
        <f t="shared" si="215"/>
        <v>5583</v>
      </c>
      <c r="Q1873" t="str">
        <f t="shared" si="218"/>
        <v>games</v>
      </c>
      <c r="R1873" t="str">
        <f t="shared" si="219"/>
        <v>mobile games</v>
      </c>
      <c r="S1873" s="9">
        <f t="shared" si="216"/>
        <v>41923.575243055551</v>
      </c>
      <c r="T1873" s="9">
        <f t="shared" si="217"/>
        <v>41963.616909722223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14"/>
        <v>1.06E-2</v>
      </c>
      <c r="P1874">
        <f t="shared" si="215"/>
        <v>10106</v>
      </c>
      <c r="Q1874" t="str">
        <f t="shared" si="218"/>
        <v>games</v>
      </c>
      <c r="R1874" t="str">
        <f t="shared" si="219"/>
        <v>mobile games</v>
      </c>
      <c r="S1874" s="9">
        <f t="shared" si="216"/>
        <v>42154.921319444438</v>
      </c>
      <c r="T1874" s="9">
        <f t="shared" si="217"/>
        <v>42184.921319444438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14"/>
        <v>4.4999999999999997E-3</v>
      </c>
      <c r="P1875">
        <f t="shared" si="215"/>
        <v>4018</v>
      </c>
      <c r="Q1875" t="str">
        <f t="shared" si="218"/>
        <v>games</v>
      </c>
      <c r="R1875" t="str">
        <f t="shared" si="219"/>
        <v>mobile games</v>
      </c>
      <c r="S1875" s="9">
        <f t="shared" si="216"/>
        <v>42164.407523148147</v>
      </c>
      <c r="T1875" s="9">
        <f t="shared" si="217"/>
        <v>42193.489583333336</v>
      </c>
    </row>
    <row r="1876" spans="1:20" ht="43.5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14"/>
        <v>1.6249999999999999E-4</v>
      </c>
      <c r="P1876">
        <f t="shared" si="215"/>
        <v>80013</v>
      </c>
      <c r="Q1876" t="str">
        <f t="shared" si="218"/>
        <v>games</v>
      </c>
      <c r="R1876" t="str">
        <f t="shared" si="219"/>
        <v>mobile games</v>
      </c>
      <c r="S1876" s="9">
        <f t="shared" si="216"/>
        <v>42529.760798611103</v>
      </c>
      <c r="T1876" s="9">
        <f t="shared" si="217"/>
        <v>42549.760798611103</v>
      </c>
    </row>
    <row r="1877" spans="1:20" ht="29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14"/>
        <v>5.1000000000000004E-3</v>
      </c>
      <c r="P1877">
        <f t="shared" si="215"/>
        <v>5025.5</v>
      </c>
      <c r="Q1877" t="str">
        <f t="shared" si="218"/>
        <v>games</v>
      </c>
      <c r="R1877" t="str">
        <f t="shared" si="219"/>
        <v>mobile games</v>
      </c>
      <c r="S1877" s="9">
        <f t="shared" si="216"/>
        <v>42528.691064814811</v>
      </c>
      <c r="T1877" s="9">
        <f t="shared" si="217"/>
        <v>42588.691064814811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14"/>
        <v>0</v>
      </c>
      <c r="P1878">
        <f t="shared" si="215"/>
        <v>140</v>
      </c>
      <c r="Q1878" t="str">
        <f t="shared" si="218"/>
        <v>games</v>
      </c>
      <c r="R1878" t="str">
        <f t="shared" si="219"/>
        <v>mobile games</v>
      </c>
      <c r="S1878" s="9">
        <f t="shared" si="216"/>
        <v>41776.07644675926</v>
      </c>
      <c r="T1878" s="9">
        <f t="shared" si="217"/>
        <v>41806.07644675926</v>
      </c>
    </row>
    <row r="1879" spans="1:20" ht="29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14"/>
        <v>0</v>
      </c>
      <c r="P1879">
        <f t="shared" si="215"/>
        <v>30</v>
      </c>
      <c r="Q1879" t="str">
        <f t="shared" si="218"/>
        <v>games</v>
      </c>
      <c r="R1879" t="str">
        <f t="shared" si="219"/>
        <v>mobile games</v>
      </c>
      <c r="S1879" s="9">
        <f t="shared" si="216"/>
        <v>42034.820891203701</v>
      </c>
      <c r="T1879" s="9">
        <f t="shared" si="217"/>
        <v>42063.820891203701</v>
      </c>
    </row>
    <row r="1880" spans="1:20" ht="43.5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14"/>
        <v>0</v>
      </c>
      <c r="P1880">
        <f t="shared" si="215"/>
        <v>4000</v>
      </c>
      <c r="Q1880" t="str">
        <f t="shared" si="218"/>
        <v>games</v>
      </c>
      <c r="R1880" t="str">
        <f t="shared" si="219"/>
        <v>mobile games</v>
      </c>
      <c r="S1880" s="9">
        <f t="shared" si="216"/>
        <v>41772.800405092588</v>
      </c>
      <c r="T1880" s="9">
        <f t="shared" si="217"/>
        <v>41802.800405092588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14"/>
        <v>1.1999999999999999E-3</v>
      </c>
      <c r="P1881">
        <f t="shared" si="215"/>
        <v>2503</v>
      </c>
      <c r="Q1881" t="str">
        <f t="shared" si="218"/>
        <v>games</v>
      </c>
      <c r="R1881" t="str">
        <f t="shared" si="219"/>
        <v>mobile games</v>
      </c>
      <c r="S1881" s="9">
        <f t="shared" si="216"/>
        <v>42413.441307870373</v>
      </c>
      <c r="T1881" s="9">
        <f t="shared" si="217"/>
        <v>42443.399641203701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14"/>
        <v>0.20080000000000001</v>
      </c>
      <c r="P1882">
        <f t="shared" si="215"/>
        <v>3002</v>
      </c>
      <c r="Q1882" t="str">
        <f t="shared" si="218"/>
        <v>games</v>
      </c>
      <c r="R1882" t="str">
        <f t="shared" si="219"/>
        <v>mobile games</v>
      </c>
      <c r="S1882" s="9">
        <f t="shared" si="216"/>
        <v>42430.358564814807</v>
      </c>
      <c r="T1882" s="9">
        <f t="shared" si="217"/>
        <v>42459.31689814815</v>
      </c>
    </row>
    <row r="1883" spans="1:20" ht="29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14"/>
        <v>1.726845</v>
      </c>
      <c r="P1883">
        <f t="shared" si="215"/>
        <v>2726.8450000000003</v>
      </c>
      <c r="Q1883" t="str">
        <f>IF(N1883="music/indie rock","music")</f>
        <v>music</v>
      </c>
      <c r="R1883" t="str">
        <f>IF(N1883="music/indie rock","indie rock")</f>
        <v>indie rock</v>
      </c>
      <c r="S1883" s="9">
        <f t="shared" si="216"/>
        <v>42042.944317129623</v>
      </c>
      <c r="T1883" s="9">
        <f t="shared" si="217"/>
        <v>42072.902650462966</v>
      </c>
    </row>
    <row r="1884" spans="1:20" ht="43.5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14"/>
        <v>1.008955223880597</v>
      </c>
      <c r="P1884">
        <f t="shared" si="215"/>
        <v>3365</v>
      </c>
      <c r="Q1884" t="str">
        <f t="shared" ref="Q1884:Q1902" si="220">IF(N1884="music/indie rock","music")</f>
        <v>music</v>
      </c>
      <c r="R1884" t="str">
        <f t="shared" ref="R1884:R1902" si="221">IF(N1884="music/indie rock","indie rock")</f>
        <v>indie rock</v>
      </c>
      <c r="S1884" s="9">
        <f t="shared" si="216"/>
        <v>41067.740879629629</v>
      </c>
      <c r="T1884" s="9">
        <f t="shared" si="217"/>
        <v>41100.783333333333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14"/>
        <v>1.0480480480480481</v>
      </c>
      <c r="P1885">
        <f t="shared" si="215"/>
        <v>1023</v>
      </c>
      <c r="Q1885" t="str">
        <f t="shared" si="220"/>
        <v>music</v>
      </c>
      <c r="R1885" t="str">
        <f t="shared" si="221"/>
        <v>indie rock</v>
      </c>
      <c r="S1885" s="9">
        <f t="shared" si="216"/>
        <v>40977.739675925921</v>
      </c>
      <c r="T1885" s="9">
        <f t="shared" si="217"/>
        <v>41007.698009259257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14"/>
        <v>1.351</v>
      </c>
      <c r="P1886">
        <f t="shared" si="215"/>
        <v>1175.5</v>
      </c>
      <c r="Q1886" t="str">
        <f t="shared" si="220"/>
        <v>music</v>
      </c>
      <c r="R1886" t="str">
        <f t="shared" si="221"/>
        <v>indie rock</v>
      </c>
      <c r="S1886" s="9">
        <f t="shared" si="216"/>
        <v>41204.989988425921</v>
      </c>
      <c r="T1886" s="9">
        <f t="shared" si="217"/>
        <v>41240.291666666664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14"/>
        <v>1.1632786885245903</v>
      </c>
      <c r="P1887">
        <f t="shared" si="215"/>
        <v>4948.5</v>
      </c>
      <c r="Q1887" t="str">
        <f t="shared" si="220"/>
        <v>music</v>
      </c>
      <c r="R1887" t="str">
        <f t="shared" si="221"/>
        <v>indie rock</v>
      </c>
      <c r="S1887" s="9">
        <f t="shared" si="216"/>
        <v>41098.885532407403</v>
      </c>
      <c r="T1887" s="9">
        <f t="shared" si="217"/>
        <v>41131.708333333328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14"/>
        <v>1.0208333333333333</v>
      </c>
      <c r="P1888">
        <f t="shared" si="215"/>
        <v>1212.5</v>
      </c>
      <c r="Q1888" t="str">
        <f t="shared" si="220"/>
        <v>music</v>
      </c>
      <c r="R1888" t="str">
        <f t="shared" si="221"/>
        <v>indie rock</v>
      </c>
      <c r="S1888" s="9">
        <f t="shared" si="216"/>
        <v>41925.69835648148</v>
      </c>
      <c r="T1888" s="9">
        <f t="shared" si="217"/>
        <v>41955.740023148144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14"/>
        <v>1.1116666666666666</v>
      </c>
      <c r="P1889">
        <f t="shared" si="215"/>
        <v>3167.5</v>
      </c>
      <c r="Q1889" t="str">
        <f t="shared" si="220"/>
        <v>music</v>
      </c>
      <c r="R1889" t="str">
        <f t="shared" si="221"/>
        <v>indie rock</v>
      </c>
      <c r="S1889" s="9">
        <f t="shared" si="216"/>
        <v>42323.591805555552</v>
      </c>
      <c r="T1889" s="9">
        <f t="shared" si="217"/>
        <v>42341.687499999993</v>
      </c>
    </row>
    <row r="1890" spans="1:20" ht="43.5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14"/>
        <v>1.6608000000000001</v>
      </c>
      <c r="P1890">
        <f t="shared" si="215"/>
        <v>3326</v>
      </c>
      <c r="Q1890" t="str">
        <f t="shared" si="220"/>
        <v>music</v>
      </c>
      <c r="R1890" t="str">
        <f t="shared" si="221"/>
        <v>indie rock</v>
      </c>
      <c r="S1890" s="9">
        <f t="shared" si="216"/>
        <v>40299.03162037037</v>
      </c>
      <c r="T1890" s="9">
        <f t="shared" si="217"/>
        <v>40329.999305555553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14"/>
        <v>1.0660000000000001</v>
      </c>
      <c r="P1891">
        <f t="shared" si="215"/>
        <v>2066</v>
      </c>
      <c r="Q1891" t="str">
        <f t="shared" si="220"/>
        <v>music</v>
      </c>
      <c r="R1891" t="str">
        <f t="shared" si="221"/>
        <v>indie rock</v>
      </c>
      <c r="S1891" s="9">
        <f t="shared" si="216"/>
        <v>41299.585023148145</v>
      </c>
      <c r="T1891" s="9">
        <f t="shared" si="217"/>
        <v>41344.543356481481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14"/>
        <v>1.4458441666666668</v>
      </c>
      <c r="P1892">
        <f t="shared" si="215"/>
        <v>14675.065000000001</v>
      </c>
      <c r="Q1892" t="str">
        <f t="shared" si="220"/>
        <v>music</v>
      </c>
      <c r="R1892" t="str">
        <f t="shared" si="221"/>
        <v>indie rock</v>
      </c>
      <c r="S1892" s="9">
        <f t="shared" si="216"/>
        <v>41228.577870370369</v>
      </c>
      <c r="T1892" s="9">
        <f t="shared" si="217"/>
        <v>41258.577870370369</v>
      </c>
    </row>
    <row r="1893" spans="1:20" ht="43.5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14"/>
        <v>1.0555000000000001</v>
      </c>
      <c r="P1893">
        <f t="shared" si="215"/>
        <v>10277.5</v>
      </c>
      <c r="Q1893" t="str">
        <f t="shared" si="220"/>
        <v>music</v>
      </c>
      <c r="R1893" t="str">
        <f t="shared" si="221"/>
        <v>indie rock</v>
      </c>
      <c r="S1893" s="9">
        <f t="shared" si="216"/>
        <v>40335.589745370366</v>
      </c>
      <c r="T1893" s="9">
        <f t="shared" si="217"/>
        <v>40381.041666666664</v>
      </c>
    </row>
    <row r="1894" spans="1:20" ht="29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14"/>
        <v>1.3660000000000001</v>
      </c>
      <c r="P1894">
        <f t="shared" si="215"/>
        <v>591.5</v>
      </c>
      <c r="Q1894" t="str">
        <f t="shared" si="220"/>
        <v>music</v>
      </c>
      <c r="R1894" t="str">
        <f t="shared" si="221"/>
        <v>indie rock</v>
      </c>
      <c r="S1894" s="9">
        <f t="shared" si="216"/>
        <v>40671.429178240738</v>
      </c>
      <c r="T1894" s="9">
        <f t="shared" si="217"/>
        <v>40701.429178240738</v>
      </c>
    </row>
    <row r="1895" spans="1:20" ht="29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14"/>
        <v>1.04</v>
      </c>
      <c r="P1895">
        <f t="shared" si="215"/>
        <v>2550</v>
      </c>
      <c r="Q1895" t="str">
        <f t="shared" si="220"/>
        <v>music</v>
      </c>
      <c r="R1895" t="str">
        <f t="shared" si="221"/>
        <v>indie rock</v>
      </c>
      <c r="S1895" s="9">
        <f t="shared" si="216"/>
        <v>40632.733622685184</v>
      </c>
      <c r="T1895" s="9">
        <f t="shared" si="217"/>
        <v>40648.957638888889</v>
      </c>
    </row>
    <row r="1896" spans="1:20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14"/>
        <v>1.145</v>
      </c>
      <c r="P1896">
        <f t="shared" si="215"/>
        <v>1072.5</v>
      </c>
      <c r="Q1896" t="str">
        <f t="shared" si="220"/>
        <v>music</v>
      </c>
      <c r="R1896" t="str">
        <f t="shared" si="221"/>
        <v>indie rock</v>
      </c>
      <c r="S1896" s="9">
        <f t="shared" si="216"/>
        <v>40920.696562499994</v>
      </c>
      <c r="T1896" s="9">
        <f t="shared" si="217"/>
        <v>40951.696562499994</v>
      </c>
    </row>
    <row r="1897" spans="1:20" ht="43.5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14"/>
        <v>1.0171957671957672</v>
      </c>
      <c r="P1897">
        <f t="shared" si="215"/>
        <v>9150</v>
      </c>
      <c r="Q1897" t="str">
        <f t="shared" si="220"/>
        <v>music</v>
      </c>
      <c r="R1897" t="str">
        <f t="shared" si="221"/>
        <v>indie rock</v>
      </c>
      <c r="S1897" s="9">
        <f t="shared" si="216"/>
        <v>42267.538449074076</v>
      </c>
      <c r="T1897" s="9">
        <f t="shared" si="217"/>
        <v>42297.538449074076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14"/>
        <v>1.2394678492239468</v>
      </c>
      <c r="P1898">
        <f t="shared" si="215"/>
        <v>505</v>
      </c>
      <c r="Q1898" t="str">
        <f t="shared" si="220"/>
        <v>music</v>
      </c>
      <c r="R1898" t="str">
        <f t="shared" si="221"/>
        <v>indie rock</v>
      </c>
      <c r="S1898" s="9">
        <f t="shared" si="216"/>
        <v>40981.501909722218</v>
      </c>
      <c r="T1898" s="9">
        <f t="shared" si="217"/>
        <v>41011.501909722218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14"/>
        <v>1.0245669291338582</v>
      </c>
      <c r="P1899">
        <f t="shared" si="215"/>
        <v>6428</v>
      </c>
      <c r="Q1899" t="str">
        <f t="shared" si="220"/>
        <v>music</v>
      </c>
      <c r="R1899" t="str">
        <f t="shared" si="221"/>
        <v>indie rock</v>
      </c>
      <c r="S1899" s="9">
        <f t="shared" si="216"/>
        <v>41680.375069444439</v>
      </c>
      <c r="T1899" s="9">
        <f t="shared" si="217"/>
        <v>41702.666666666664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14"/>
        <v>1.4450000000000001</v>
      </c>
      <c r="P1900">
        <f t="shared" si="215"/>
        <v>1222.5</v>
      </c>
      <c r="Q1900" t="str">
        <f t="shared" si="220"/>
        <v>music</v>
      </c>
      <c r="R1900" t="str">
        <f t="shared" si="221"/>
        <v>indie rock</v>
      </c>
      <c r="S1900" s="9">
        <f t="shared" si="216"/>
        <v>42365.9846412037</v>
      </c>
      <c r="T1900" s="9">
        <f t="shared" si="217"/>
        <v>42401.541666666664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14"/>
        <v>1.3333333333333333</v>
      </c>
      <c r="P1901">
        <f t="shared" si="215"/>
        <v>1050</v>
      </c>
      <c r="Q1901" t="str">
        <f t="shared" si="220"/>
        <v>music</v>
      </c>
      <c r="R1901" t="str">
        <f t="shared" si="221"/>
        <v>indie rock</v>
      </c>
      <c r="S1901" s="9">
        <f t="shared" si="216"/>
        <v>42058.733402777776</v>
      </c>
      <c r="T1901" s="9">
        <f t="shared" si="217"/>
        <v>42088.691736111105</v>
      </c>
    </row>
    <row r="1902" spans="1:20" ht="43.5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14"/>
        <v>1.0936440000000001</v>
      </c>
      <c r="P1902">
        <f t="shared" si="215"/>
        <v>2617.0550000000003</v>
      </c>
      <c r="Q1902" t="str">
        <f t="shared" si="220"/>
        <v>music</v>
      </c>
      <c r="R1902" t="str">
        <f t="shared" si="221"/>
        <v>indie rock</v>
      </c>
      <c r="S1902" s="9">
        <f t="shared" si="216"/>
        <v>41160.663553240738</v>
      </c>
      <c r="T1902" s="9">
        <f t="shared" si="217"/>
        <v>41188.207638888889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14"/>
        <v>2.696969696969697E-2</v>
      </c>
      <c r="P1903">
        <f t="shared" si="215"/>
        <v>50835</v>
      </c>
      <c r="Q1903" t="str">
        <f>IF(N1903="technology/gadgets","technology")</f>
        <v>technology</v>
      </c>
      <c r="R1903" t="str">
        <f>IF(N1903="technology/gadgets","gadgets")</f>
        <v>gadgets</v>
      </c>
      <c r="S1903" s="9">
        <f t="shared" si="216"/>
        <v>42116.334826388884</v>
      </c>
      <c r="T1903" s="9">
        <f t="shared" si="217"/>
        <v>42146.333333333336</v>
      </c>
    </row>
    <row r="1904" spans="1:20" ht="43.5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14"/>
        <v>1.2E-2</v>
      </c>
      <c r="P1904">
        <f t="shared" si="215"/>
        <v>506</v>
      </c>
      <c r="Q1904" t="str">
        <f t="shared" ref="Q1904:Q1922" si="222">IF(N1904="technology/gadgets","technology")</f>
        <v>technology</v>
      </c>
      <c r="R1904" t="str">
        <f t="shared" ref="R1904:R1922" si="223">IF(N1904="technology/gadgets","gadgets")</f>
        <v>gadgets</v>
      </c>
      <c r="S1904" s="9">
        <f t="shared" si="216"/>
        <v>42037.581562499996</v>
      </c>
      <c r="T1904" s="9">
        <f t="shared" si="217"/>
        <v>42067.581562499996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14"/>
        <v>0.46600000000000003</v>
      </c>
      <c r="P1905">
        <f t="shared" si="215"/>
        <v>2199</v>
      </c>
      <c r="Q1905" t="str">
        <f t="shared" si="222"/>
        <v>technology</v>
      </c>
      <c r="R1905" t="str">
        <f t="shared" si="223"/>
        <v>gadgets</v>
      </c>
      <c r="S1905" s="9">
        <f t="shared" si="216"/>
        <v>42702.562395833331</v>
      </c>
      <c r="T1905" s="9">
        <f t="shared" si="217"/>
        <v>42762.562395833331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14"/>
        <v>1E-3</v>
      </c>
      <c r="P1906">
        <f t="shared" si="215"/>
        <v>25025</v>
      </c>
      <c r="Q1906" t="str">
        <f t="shared" si="222"/>
        <v>technology</v>
      </c>
      <c r="R1906" t="str">
        <f t="shared" si="223"/>
        <v>gadgets</v>
      </c>
      <c r="S1906" s="9">
        <f t="shared" si="216"/>
        <v>42326.477094907408</v>
      </c>
      <c r="T1906" s="9">
        <f t="shared" si="217"/>
        <v>42371.477094907408</v>
      </c>
    </row>
    <row r="1907" spans="1:20" ht="43.5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14"/>
        <v>1.6800000000000001E-3</v>
      </c>
      <c r="P1907">
        <f t="shared" si="215"/>
        <v>12521</v>
      </c>
      <c r="Q1907" t="str">
        <f t="shared" si="222"/>
        <v>technology</v>
      </c>
      <c r="R1907" t="str">
        <f t="shared" si="223"/>
        <v>gadgets</v>
      </c>
      <c r="S1907" s="9">
        <f t="shared" si="216"/>
        <v>41859.717523148145</v>
      </c>
      <c r="T1907" s="9">
        <f t="shared" si="217"/>
        <v>41889.717523148145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14"/>
        <v>0.42759999999999998</v>
      </c>
      <c r="P1908">
        <f t="shared" si="215"/>
        <v>35690</v>
      </c>
      <c r="Q1908" t="str">
        <f t="shared" si="222"/>
        <v>technology</v>
      </c>
      <c r="R1908" t="str">
        <f t="shared" si="223"/>
        <v>gadgets</v>
      </c>
      <c r="S1908" s="9">
        <f t="shared" si="216"/>
        <v>42514.462766203702</v>
      </c>
      <c r="T1908" s="9">
        <f t="shared" si="217"/>
        <v>42544.462766203702</v>
      </c>
    </row>
    <row r="1909" spans="1:20" ht="29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14"/>
        <v>2.8333333333333335E-3</v>
      </c>
      <c r="P1909">
        <f t="shared" si="215"/>
        <v>15042.5</v>
      </c>
      <c r="Q1909" t="str">
        <f t="shared" si="222"/>
        <v>technology</v>
      </c>
      <c r="R1909" t="str">
        <f t="shared" si="223"/>
        <v>gadgets</v>
      </c>
      <c r="S1909" s="9">
        <f t="shared" si="216"/>
        <v>41767.378761574073</v>
      </c>
      <c r="T1909" s="9">
        <f t="shared" si="217"/>
        <v>41782.378761574073</v>
      </c>
    </row>
    <row r="1910" spans="1:20" ht="43.5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14"/>
        <v>1.7319999999999999E-2</v>
      </c>
      <c r="P1910">
        <f t="shared" si="215"/>
        <v>12716.5</v>
      </c>
      <c r="Q1910" t="str">
        <f t="shared" si="222"/>
        <v>technology</v>
      </c>
      <c r="R1910" t="str">
        <f t="shared" si="223"/>
        <v>gadgets</v>
      </c>
      <c r="S1910" s="9">
        <f t="shared" si="216"/>
        <v>42703.709490740737</v>
      </c>
      <c r="T1910" s="9">
        <f t="shared" si="217"/>
        <v>42733.709490740737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14"/>
        <v>0.14111428571428572</v>
      </c>
      <c r="P1911">
        <f t="shared" si="215"/>
        <v>19969.5</v>
      </c>
      <c r="Q1911" t="str">
        <f t="shared" si="222"/>
        <v>technology</v>
      </c>
      <c r="R1911" t="str">
        <f t="shared" si="223"/>
        <v>gadgets</v>
      </c>
      <c r="S1911" s="9">
        <f t="shared" si="216"/>
        <v>41905.220821759256</v>
      </c>
      <c r="T1911" s="9">
        <f t="shared" si="217"/>
        <v>41935.220821759256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14"/>
        <v>0.39395294117647056</v>
      </c>
      <c r="P1912">
        <f t="shared" si="215"/>
        <v>59243</v>
      </c>
      <c r="Q1912" t="str">
        <f t="shared" si="222"/>
        <v>technology</v>
      </c>
      <c r="R1912" t="str">
        <f t="shared" si="223"/>
        <v>gadgets</v>
      </c>
      <c r="S1912" s="9">
        <f t="shared" si="216"/>
        <v>42264.754826388882</v>
      </c>
      <c r="T1912" s="9">
        <f t="shared" si="217"/>
        <v>42308.739583333336</v>
      </c>
    </row>
    <row r="1913" spans="1:20" ht="43.5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14"/>
        <v>2.3529411764705883E-4</v>
      </c>
      <c r="P1913">
        <f t="shared" si="215"/>
        <v>21255</v>
      </c>
      <c r="Q1913" t="str">
        <f t="shared" si="222"/>
        <v>technology</v>
      </c>
      <c r="R1913" t="str">
        <f t="shared" si="223"/>
        <v>gadgets</v>
      </c>
      <c r="S1913" s="9">
        <f t="shared" si="216"/>
        <v>41829.825624999998</v>
      </c>
      <c r="T1913" s="9">
        <f t="shared" si="217"/>
        <v>41859.825624999998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14"/>
        <v>0.59299999999999997</v>
      </c>
      <c r="P1914">
        <f t="shared" si="215"/>
        <v>3982.5</v>
      </c>
      <c r="Q1914" t="str">
        <f t="shared" si="222"/>
        <v>technology</v>
      </c>
      <c r="R1914" t="str">
        <f t="shared" si="223"/>
        <v>gadgets</v>
      </c>
      <c r="S1914" s="9">
        <f t="shared" si="216"/>
        <v>42129.018055555549</v>
      </c>
      <c r="T1914" s="9">
        <f t="shared" si="217"/>
        <v>42159.018055555549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14"/>
        <v>1.3270833333333334E-2</v>
      </c>
      <c r="P1915">
        <f t="shared" si="215"/>
        <v>24318.5</v>
      </c>
      <c r="Q1915" t="str">
        <f t="shared" si="222"/>
        <v>technology</v>
      </c>
      <c r="R1915" t="str">
        <f t="shared" si="223"/>
        <v>gadgets</v>
      </c>
      <c r="S1915" s="9">
        <f t="shared" si="216"/>
        <v>41890.302986111106</v>
      </c>
      <c r="T1915" s="9">
        <f t="shared" si="217"/>
        <v>41920.302986111106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14"/>
        <v>9.0090090090090086E-2</v>
      </c>
      <c r="P1916">
        <f t="shared" si="215"/>
        <v>363</v>
      </c>
      <c r="Q1916" t="str">
        <f t="shared" si="222"/>
        <v>technology</v>
      </c>
      <c r="R1916" t="str">
        <f t="shared" si="223"/>
        <v>gadgets</v>
      </c>
      <c r="S1916" s="9">
        <f t="shared" si="216"/>
        <v>41928.966122685182</v>
      </c>
      <c r="T1916" s="9">
        <f t="shared" si="217"/>
        <v>41943.957638888889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14"/>
        <v>1.6E-2</v>
      </c>
      <c r="P1917">
        <f t="shared" si="215"/>
        <v>254</v>
      </c>
      <c r="Q1917" t="str">
        <f t="shared" si="222"/>
        <v>technology</v>
      </c>
      <c r="R1917" t="str">
        <f t="shared" si="223"/>
        <v>gadgets</v>
      </c>
      <c r="S1917" s="9">
        <f t="shared" si="216"/>
        <v>41863.840532407405</v>
      </c>
      <c r="T1917" s="9">
        <f t="shared" si="217"/>
        <v>41883.840532407405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14"/>
        <v>5.1000000000000004E-3</v>
      </c>
      <c r="P1918">
        <f t="shared" si="215"/>
        <v>10051</v>
      </c>
      <c r="Q1918" t="str">
        <f t="shared" si="222"/>
        <v>technology</v>
      </c>
      <c r="R1918" t="str">
        <f t="shared" si="223"/>
        <v>gadgets</v>
      </c>
      <c r="S1918" s="9">
        <f t="shared" si="216"/>
        <v>42656.508969907409</v>
      </c>
      <c r="T1918" s="9">
        <f t="shared" si="217"/>
        <v>42681.550636574073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14"/>
        <v>0.52570512820512816</v>
      </c>
      <c r="P1919">
        <f t="shared" si="215"/>
        <v>297512.5</v>
      </c>
      <c r="Q1919" t="str">
        <f t="shared" si="222"/>
        <v>technology</v>
      </c>
      <c r="R1919" t="str">
        <f t="shared" si="223"/>
        <v>gadgets</v>
      </c>
      <c r="S1919" s="9">
        <f t="shared" si="216"/>
        <v>42746.06172453703</v>
      </c>
      <c r="T1919" s="9">
        <f t="shared" si="217"/>
        <v>42776.06172453703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14"/>
        <v>1.04E-2</v>
      </c>
      <c r="P1920">
        <f t="shared" si="215"/>
        <v>12630</v>
      </c>
      <c r="Q1920" t="str">
        <f t="shared" si="222"/>
        <v>technology</v>
      </c>
      <c r="R1920" t="str">
        <f t="shared" si="223"/>
        <v>gadgets</v>
      </c>
      <c r="S1920" s="9">
        <f t="shared" si="216"/>
        <v>41828.581608796296</v>
      </c>
      <c r="T1920" s="9">
        <f t="shared" si="217"/>
        <v>41863.581608796296</v>
      </c>
    </row>
    <row r="1921" spans="1:20" ht="43.5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14"/>
        <v>0.47399999999999998</v>
      </c>
      <c r="P1921">
        <f t="shared" si="215"/>
        <v>368.5</v>
      </c>
      <c r="Q1921" t="str">
        <f t="shared" si="222"/>
        <v>technology</v>
      </c>
      <c r="R1921" t="str">
        <f t="shared" si="223"/>
        <v>gadgets</v>
      </c>
      <c r="S1921" s="9">
        <f t="shared" si="216"/>
        <v>42113.667233796295</v>
      </c>
      <c r="T1921" s="9">
        <f t="shared" si="217"/>
        <v>42143.667233796295</v>
      </c>
    </row>
    <row r="1922" spans="1:20" ht="29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14"/>
        <v>0.43030000000000002</v>
      </c>
      <c r="P1922">
        <f t="shared" si="215"/>
        <v>7151.5</v>
      </c>
      <c r="Q1922" t="str">
        <f t="shared" si="222"/>
        <v>technology</v>
      </c>
      <c r="R1922" t="str">
        <f t="shared" si="223"/>
        <v>gadgets</v>
      </c>
      <c r="S1922" s="9">
        <f t="shared" si="216"/>
        <v>42270.66737268518</v>
      </c>
      <c r="T1922" s="9">
        <f t="shared" si="217"/>
        <v>42298.749999999993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24">E1923/D1923</f>
        <v>1.3680000000000001</v>
      </c>
      <c r="P1923">
        <f t="shared" ref="P1923:P1986" si="225">AVERAGE(D1923:E1923)</f>
        <v>1776</v>
      </c>
      <c r="Q1923" t="str">
        <f>IF(N1923="music/indie rock","music")</f>
        <v>music</v>
      </c>
      <c r="R1923" t="str">
        <f>IF(N1923="music/indie rock","indie rock")</f>
        <v>indie rock</v>
      </c>
      <c r="S1923" s="9">
        <f t="shared" ref="S1923:S1986" si="226">J1923/86400+25569+(-5/24)</f>
        <v>41074.013229166667</v>
      </c>
      <c r="T1923" s="9">
        <f t="shared" si="217"/>
        <v>41104.013229166667</v>
      </c>
    </row>
    <row r="1924" spans="1:20" ht="29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24"/>
        <v>1.1555</v>
      </c>
      <c r="P1924">
        <f t="shared" si="225"/>
        <v>2155.5</v>
      </c>
      <c r="Q1924" t="str">
        <f t="shared" ref="Q1924:Q1942" si="227">IF(N1924="music/indie rock","music")</f>
        <v>music</v>
      </c>
      <c r="R1924" t="str">
        <f t="shared" ref="R1924:R1942" si="228">IF(N1924="music/indie rock","indie rock")</f>
        <v>indie rock</v>
      </c>
      <c r="S1924" s="9">
        <f t="shared" si="226"/>
        <v>41590.047534722216</v>
      </c>
      <c r="T1924" s="9">
        <f t="shared" ref="T1924:T1987" si="229">I1924/86400+25569+(-5/24)</f>
        <v>41620.047534722216</v>
      </c>
    </row>
    <row r="1925" spans="1:20" ht="29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24"/>
        <v>2.4079999999999999</v>
      </c>
      <c r="P1925">
        <f t="shared" si="225"/>
        <v>213</v>
      </c>
      <c r="Q1925" t="str">
        <f t="shared" si="227"/>
        <v>music</v>
      </c>
      <c r="R1925" t="str">
        <f t="shared" si="228"/>
        <v>indie rock</v>
      </c>
      <c r="S1925" s="9">
        <f t="shared" si="226"/>
        <v>40772.640416666662</v>
      </c>
      <c r="T1925" s="9">
        <f t="shared" si="229"/>
        <v>40812.999305555553</v>
      </c>
    </row>
    <row r="1926" spans="1:20" ht="43.5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24"/>
        <v>1.1439999999999999</v>
      </c>
      <c r="P1926">
        <f t="shared" si="225"/>
        <v>3216</v>
      </c>
      <c r="Q1926" t="str">
        <f t="shared" si="227"/>
        <v>music</v>
      </c>
      <c r="R1926" t="str">
        <f t="shared" si="228"/>
        <v>indie rock</v>
      </c>
      <c r="S1926" s="9">
        <f t="shared" si="226"/>
        <v>41626.552719907406</v>
      </c>
      <c r="T1926" s="9">
        <f t="shared" si="229"/>
        <v>41654.606249999997</v>
      </c>
    </row>
    <row r="1927" spans="1:20" ht="29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24"/>
        <v>1.1033333333333333</v>
      </c>
      <c r="P1927">
        <f t="shared" si="225"/>
        <v>1577.5</v>
      </c>
      <c r="Q1927" t="str">
        <f t="shared" si="227"/>
        <v>music</v>
      </c>
      <c r="R1927" t="str">
        <f t="shared" si="228"/>
        <v>indie rock</v>
      </c>
      <c r="S1927" s="9">
        <f t="shared" si="226"/>
        <v>41535.693148148144</v>
      </c>
      <c r="T1927" s="9">
        <f t="shared" si="229"/>
        <v>41557.791666666664</v>
      </c>
    </row>
    <row r="1928" spans="1:20" ht="43.5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24"/>
        <v>1.9537933333333333</v>
      </c>
      <c r="P1928">
        <f t="shared" si="225"/>
        <v>2215.3450000000003</v>
      </c>
      <c r="Q1928" t="str">
        <f t="shared" si="227"/>
        <v>music</v>
      </c>
      <c r="R1928" t="str">
        <f t="shared" si="228"/>
        <v>indie rock</v>
      </c>
      <c r="S1928" s="9">
        <f t="shared" si="226"/>
        <v>40456.746018518512</v>
      </c>
      <c r="T1928" s="9">
        <f t="shared" si="229"/>
        <v>40483.80972222222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24"/>
        <v>1.0333333333333334</v>
      </c>
      <c r="P1929">
        <f t="shared" si="225"/>
        <v>610</v>
      </c>
      <c r="Q1929" t="str">
        <f t="shared" si="227"/>
        <v>music</v>
      </c>
      <c r="R1929" t="str">
        <f t="shared" si="228"/>
        <v>indie rock</v>
      </c>
      <c r="S1929" s="9">
        <f t="shared" si="226"/>
        <v>40960.653229166666</v>
      </c>
      <c r="T1929" s="9">
        <f t="shared" si="229"/>
        <v>40975.999305555553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24"/>
        <v>1.031372549019608</v>
      </c>
      <c r="P1930">
        <f t="shared" si="225"/>
        <v>2590</v>
      </c>
      <c r="Q1930" t="str">
        <f t="shared" si="227"/>
        <v>music</v>
      </c>
      <c r="R1930" t="str">
        <f t="shared" si="228"/>
        <v>indie rock</v>
      </c>
      <c r="S1930" s="9">
        <f t="shared" si="226"/>
        <v>41371.439745370364</v>
      </c>
      <c r="T1930" s="9">
        <f t="shared" si="229"/>
        <v>41401.439745370364</v>
      </c>
    </row>
    <row r="1931" spans="1:20" ht="29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24"/>
        <v>1.003125</v>
      </c>
      <c r="P1931">
        <f t="shared" si="225"/>
        <v>3205</v>
      </c>
      <c r="Q1931" t="str">
        <f t="shared" si="227"/>
        <v>music</v>
      </c>
      <c r="R1931" t="str">
        <f t="shared" si="228"/>
        <v>indie rock</v>
      </c>
      <c r="S1931" s="9">
        <f t="shared" si="226"/>
        <v>40686.813263888886</v>
      </c>
      <c r="T1931" s="9">
        <f t="shared" si="229"/>
        <v>40728.813263888886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24"/>
        <v>1.27</v>
      </c>
      <c r="P1932">
        <f t="shared" si="225"/>
        <v>1135</v>
      </c>
      <c r="Q1932" t="str">
        <f t="shared" si="227"/>
        <v>music</v>
      </c>
      <c r="R1932" t="str">
        <f t="shared" si="228"/>
        <v>indie rock</v>
      </c>
      <c r="S1932" s="9">
        <f t="shared" si="226"/>
        <v>41402.350486111107</v>
      </c>
      <c r="T1932" s="9">
        <f t="shared" si="229"/>
        <v>41462.350486111107</v>
      </c>
    </row>
    <row r="1933" spans="1:20" ht="29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24"/>
        <v>1.20601</v>
      </c>
      <c r="P1933">
        <f t="shared" si="225"/>
        <v>2206.0100000000002</v>
      </c>
      <c r="Q1933" t="str">
        <f t="shared" si="227"/>
        <v>music</v>
      </c>
      <c r="R1933" t="str">
        <f t="shared" si="228"/>
        <v>indie rock</v>
      </c>
      <c r="S1933" s="9">
        <f t="shared" si="226"/>
        <v>41037.684131944443</v>
      </c>
      <c r="T1933" s="9">
        <f t="shared" si="229"/>
        <v>41050.9375</v>
      </c>
    </row>
    <row r="1934" spans="1:20" ht="43.5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24"/>
        <v>1.0699047619047619</v>
      </c>
      <c r="P1934">
        <f t="shared" si="225"/>
        <v>5433.5</v>
      </c>
      <c r="Q1934" t="str">
        <f t="shared" si="227"/>
        <v>music</v>
      </c>
      <c r="R1934" t="str">
        <f t="shared" si="228"/>
        <v>indie rock</v>
      </c>
      <c r="S1934" s="9">
        <f t="shared" si="226"/>
        <v>40911.601539351854</v>
      </c>
      <c r="T1934" s="9">
        <f t="shared" si="229"/>
        <v>40932.601539351854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24"/>
        <v>1.7243333333333333</v>
      </c>
      <c r="P1935">
        <f t="shared" si="225"/>
        <v>8173</v>
      </c>
      <c r="Q1935" t="str">
        <f t="shared" si="227"/>
        <v>music</v>
      </c>
      <c r="R1935" t="str">
        <f t="shared" si="228"/>
        <v>indie rock</v>
      </c>
      <c r="S1935" s="9">
        <f t="shared" si="226"/>
        <v>41878.922534722216</v>
      </c>
      <c r="T1935" s="9">
        <f t="shared" si="229"/>
        <v>41908.922534722216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24"/>
        <v>1.2362</v>
      </c>
      <c r="P1936">
        <f t="shared" si="225"/>
        <v>5590.5</v>
      </c>
      <c r="Q1936" t="str">
        <f t="shared" si="227"/>
        <v>music</v>
      </c>
      <c r="R1936" t="str">
        <f t="shared" si="228"/>
        <v>indie rock</v>
      </c>
      <c r="S1936" s="9">
        <f t="shared" si="226"/>
        <v>40865.658807870372</v>
      </c>
      <c r="T1936" s="9">
        <f t="shared" si="229"/>
        <v>40902</v>
      </c>
    </row>
    <row r="1937" spans="1:20" ht="43.5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24"/>
        <v>1.0840000000000001</v>
      </c>
      <c r="P1937">
        <f t="shared" si="225"/>
        <v>2605</v>
      </c>
      <c r="Q1937" t="str">
        <f t="shared" si="227"/>
        <v>music</v>
      </c>
      <c r="R1937" t="str">
        <f t="shared" si="228"/>
        <v>indie rock</v>
      </c>
      <c r="S1937" s="9">
        <f t="shared" si="226"/>
        <v>41773.724201388883</v>
      </c>
      <c r="T1937" s="9">
        <f t="shared" si="229"/>
        <v>41810.999305555553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24"/>
        <v>1.1652013333333333</v>
      </c>
      <c r="P1938">
        <f t="shared" si="225"/>
        <v>8119.5050000000001</v>
      </c>
      <c r="Q1938" t="str">
        <f t="shared" si="227"/>
        <v>music</v>
      </c>
      <c r="R1938" t="str">
        <f t="shared" si="228"/>
        <v>indie rock</v>
      </c>
      <c r="S1938" s="9">
        <f t="shared" si="226"/>
        <v>40852.68136574074</v>
      </c>
      <c r="T1938" s="9">
        <f t="shared" si="229"/>
        <v>40883.040972222218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24"/>
        <v>1.8724499999999999</v>
      </c>
      <c r="P1939">
        <f t="shared" si="225"/>
        <v>861.73500000000001</v>
      </c>
      <c r="Q1939" t="str">
        <f t="shared" si="227"/>
        <v>music</v>
      </c>
      <c r="R1939" t="str">
        <f t="shared" si="228"/>
        <v>indie rock</v>
      </c>
      <c r="S1939" s="9">
        <f t="shared" si="226"/>
        <v>41058.91065972222</v>
      </c>
      <c r="T1939" s="9">
        <f t="shared" si="229"/>
        <v>41074.957638888889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24"/>
        <v>1.1593333333333333</v>
      </c>
      <c r="P1940">
        <f t="shared" si="225"/>
        <v>16195</v>
      </c>
      <c r="Q1940" t="str">
        <f t="shared" si="227"/>
        <v>music</v>
      </c>
      <c r="R1940" t="str">
        <f t="shared" si="228"/>
        <v>indie rock</v>
      </c>
      <c r="S1940" s="9">
        <f t="shared" si="226"/>
        <v>41426.05128472222</v>
      </c>
      <c r="T1940" s="9">
        <f t="shared" si="229"/>
        <v>41457</v>
      </c>
    </row>
    <row r="1941" spans="1:20" ht="43.5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24"/>
        <v>1.107</v>
      </c>
      <c r="P1941">
        <f t="shared" si="225"/>
        <v>10535</v>
      </c>
      <c r="Q1941" t="str">
        <f t="shared" si="227"/>
        <v>music</v>
      </c>
      <c r="R1941" t="str">
        <f t="shared" si="228"/>
        <v>indie rock</v>
      </c>
      <c r="S1941" s="9">
        <f t="shared" si="226"/>
        <v>41313.776712962957</v>
      </c>
      <c r="T1941" s="9">
        <f t="shared" si="229"/>
        <v>41343.735046296293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24"/>
        <v>1.7092307692307693</v>
      </c>
      <c r="P1942">
        <f t="shared" si="225"/>
        <v>880.5</v>
      </c>
      <c r="Q1942" t="str">
        <f t="shared" si="227"/>
        <v>music</v>
      </c>
      <c r="R1942" t="str">
        <f t="shared" si="228"/>
        <v>indie rock</v>
      </c>
      <c r="S1942" s="9">
        <f t="shared" si="226"/>
        <v>40670.298993055556</v>
      </c>
      <c r="T1942" s="9">
        <f t="shared" si="229"/>
        <v>40708.957638888889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24"/>
        <v>1.2611835600000001</v>
      </c>
      <c r="P1943">
        <f t="shared" si="225"/>
        <v>282647.94500000001</v>
      </c>
      <c r="Q1943" t="str">
        <f>IF(N1943="technology/hardware","technology")</f>
        <v>technology</v>
      </c>
      <c r="R1943" t="str">
        <f>IF(N1943="technology/hardware","hardware")</f>
        <v>hardware</v>
      </c>
      <c r="S1943" s="9">
        <f t="shared" si="226"/>
        <v>41744.08253472222</v>
      </c>
      <c r="T1943" s="9">
        <f t="shared" si="229"/>
        <v>41774.08253472222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24"/>
        <v>1.3844033333333334</v>
      </c>
      <c r="P1944">
        <f t="shared" si="225"/>
        <v>7153.21</v>
      </c>
      <c r="Q1944" t="str">
        <f t="shared" ref="Q1944:Q1982" si="230">IF(N1944="technology/hardware","technology")</f>
        <v>technology</v>
      </c>
      <c r="R1944" t="str">
        <f t="shared" ref="R1944:R1982" si="231">IF(N1944="technology/hardware","hardware")</f>
        <v>hardware</v>
      </c>
      <c r="S1944" s="9">
        <f t="shared" si="226"/>
        <v>40638.619675925926</v>
      </c>
      <c r="T1944" s="9">
        <f t="shared" si="229"/>
        <v>40728.619675925926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24"/>
        <v>17.052499999999998</v>
      </c>
      <c r="P1945">
        <f t="shared" si="225"/>
        <v>90262.5</v>
      </c>
      <c r="Q1945" t="str">
        <f t="shared" si="230"/>
        <v>technology</v>
      </c>
      <c r="R1945" t="str">
        <f t="shared" si="231"/>
        <v>hardware</v>
      </c>
      <c r="S1945" s="9">
        <f t="shared" si="226"/>
        <v>42548.061527777776</v>
      </c>
      <c r="T1945" s="9">
        <f t="shared" si="229"/>
        <v>42593.061527777776</v>
      </c>
    </row>
    <row r="1946" spans="1:20" ht="43.5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24"/>
        <v>7.8805550000000002</v>
      </c>
      <c r="P1946">
        <f t="shared" si="225"/>
        <v>177611.1</v>
      </c>
      <c r="Q1946" t="str">
        <f t="shared" si="230"/>
        <v>technology</v>
      </c>
      <c r="R1946" t="str">
        <f t="shared" si="231"/>
        <v>hardware</v>
      </c>
      <c r="S1946" s="9">
        <f t="shared" si="226"/>
        <v>41730.376041666663</v>
      </c>
      <c r="T1946" s="9">
        <f t="shared" si="229"/>
        <v>41760.376041666663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24"/>
        <v>3.4801799999999998</v>
      </c>
      <c r="P1947">
        <f t="shared" si="225"/>
        <v>224009</v>
      </c>
      <c r="Q1947" t="str">
        <f t="shared" si="230"/>
        <v>technology</v>
      </c>
      <c r="R1947" t="str">
        <f t="shared" si="231"/>
        <v>hardware</v>
      </c>
      <c r="S1947" s="9">
        <f t="shared" si="226"/>
        <v>42157.043495370366</v>
      </c>
      <c r="T1947" s="9">
        <f t="shared" si="229"/>
        <v>42197.043495370366</v>
      </c>
    </row>
    <row r="1948" spans="1:20" ht="43.5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24"/>
        <v>1.4974666666666667</v>
      </c>
      <c r="P1948">
        <f t="shared" si="225"/>
        <v>9365.5</v>
      </c>
      <c r="Q1948" t="str">
        <f t="shared" si="230"/>
        <v>technology</v>
      </c>
      <c r="R1948" t="str">
        <f t="shared" si="231"/>
        <v>hardware</v>
      </c>
      <c r="S1948" s="9">
        <f t="shared" si="226"/>
        <v>41688.941678240742</v>
      </c>
      <c r="T1948" s="9">
        <f t="shared" si="229"/>
        <v>41748.900011574071</v>
      </c>
    </row>
    <row r="1949" spans="1:20" ht="43.5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24"/>
        <v>1.0063375000000001</v>
      </c>
      <c r="P1949">
        <f t="shared" si="225"/>
        <v>802.53500000000008</v>
      </c>
      <c r="Q1949" t="str">
        <f t="shared" si="230"/>
        <v>technology</v>
      </c>
      <c r="R1949" t="str">
        <f t="shared" si="231"/>
        <v>hardware</v>
      </c>
      <c r="S1949" s="9">
        <f t="shared" si="226"/>
        <v>40102.709722222222</v>
      </c>
      <c r="T1949" s="9">
        <f t="shared" si="229"/>
        <v>40140.040972222218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24"/>
        <v>8.0021100000000001</v>
      </c>
      <c r="P1950">
        <f t="shared" si="225"/>
        <v>450105.5</v>
      </c>
      <c r="Q1950" t="str">
        <f t="shared" si="230"/>
        <v>technology</v>
      </c>
      <c r="R1950" t="str">
        <f t="shared" si="231"/>
        <v>hardware</v>
      </c>
      <c r="S1950" s="9">
        <f t="shared" si="226"/>
        <v>42473.395937499998</v>
      </c>
      <c r="T1950" s="9">
        <f t="shared" si="229"/>
        <v>42527.501388888886</v>
      </c>
    </row>
    <row r="1951" spans="1:20" ht="29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24"/>
        <v>1.0600260000000001</v>
      </c>
      <c r="P1951">
        <f t="shared" si="225"/>
        <v>51500.65</v>
      </c>
      <c r="Q1951" t="str">
        <f t="shared" si="230"/>
        <v>technology</v>
      </c>
      <c r="R1951" t="str">
        <f t="shared" si="231"/>
        <v>hardware</v>
      </c>
      <c r="S1951" s="9">
        <f t="shared" si="226"/>
        <v>41800.21471064815</v>
      </c>
      <c r="T1951" s="9">
        <f t="shared" si="229"/>
        <v>41830.21471064815</v>
      </c>
    </row>
    <row r="1952" spans="1:20" ht="29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24"/>
        <v>2.0051866666666669</v>
      </c>
      <c r="P1952">
        <f t="shared" si="225"/>
        <v>72124.48000000001</v>
      </c>
      <c r="Q1952" t="str">
        <f t="shared" si="230"/>
        <v>technology</v>
      </c>
      <c r="R1952" t="str">
        <f t="shared" si="231"/>
        <v>hardware</v>
      </c>
      <c r="S1952" s="9">
        <f t="shared" si="226"/>
        <v>40623.973067129627</v>
      </c>
      <c r="T1952" s="9">
        <f t="shared" si="229"/>
        <v>40654.973067129627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24"/>
        <v>2.1244399999999999</v>
      </c>
      <c r="P1953">
        <f t="shared" si="225"/>
        <v>78111</v>
      </c>
      <c r="Q1953" t="str">
        <f t="shared" si="230"/>
        <v>technology</v>
      </c>
      <c r="R1953" t="str">
        <f t="shared" si="231"/>
        <v>hardware</v>
      </c>
      <c r="S1953" s="9">
        <f t="shared" si="226"/>
        <v>42651.212233796294</v>
      </c>
      <c r="T1953" s="9">
        <f t="shared" si="229"/>
        <v>42681.253900462958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24"/>
        <v>1.9847237142857144</v>
      </c>
      <c r="P1954">
        <f t="shared" si="225"/>
        <v>52232.665000000001</v>
      </c>
      <c r="Q1954" t="str">
        <f t="shared" si="230"/>
        <v>technology</v>
      </c>
      <c r="R1954" t="str">
        <f t="shared" si="231"/>
        <v>hardware</v>
      </c>
      <c r="S1954" s="9">
        <f t="shared" si="226"/>
        <v>41526.398321759254</v>
      </c>
      <c r="T1954" s="9">
        <f t="shared" si="229"/>
        <v>41563.398321759254</v>
      </c>
    </row>
    <row r="1955" spans="1:20" ht="29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24"/>
        <v>2.2594666666666665</v>
      </c>
      <c r="P1955">
        <f t="shared" si="225"/>
        <v>24446</v>
      </c>
      <c r="Q1955" t="str">
        <f t="shared" si="230"/>
        <v>technology</v>
      </c>
      <c r="R1955" t="str">
        <f t="shared" si="231"/>
        <v>hardware</v>
      </c>
      <c r="S1955" s="9">
        <f t="shared" si="226"/>
        <v>40940.991493055553</v>
      </c>
      <c r="T1955" s="9">
        <f t="shared" si="229"/>
        <v>40969.916666666664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24"/>
        <v>6.9894800000000004</v>
      </c>
      <c r="P1956">
        <f t="shared" si="225"/>
        <v>199737</v>
      </c>
      <c r="Q1956" t="str">
        <f t="shared" si="230"/>
        <v>technology</v>
      </c>
      <c r="R1956" t="str">
        <f t="shared" si="231"/>
        <v>hardware</v>
      </c>
      <c r="S1956" s="9">
        <f t="shared" si="226"/>
        <v>42394.372407407405</v>
      </c>
      <c r="T1956" s="9">
        <f t="shared" si="229"/>
        <v>42440.999999999993</v>
      </c>
    </row>
    <row r="1957" spans="1:20" ht="43.5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24"/>
        <v>3.9859528571428569</v>
      </c>
      <c r="P1957">
        <f t="shared" si="225"/>
        <v>104705.01</v>
      </c>
      <c r="Q1957" t="str">
        <f t="shared" si="230"/>
        <v>technology</v>
      </c>
      <c r="R1957" t="str">
        <f t="shared" si="231"/>
        <v>hardware</v>
      </c>
      <c r="S1957" s="9">
        <f t="shared" si="226"/>
        <v>41020.063437500001</v>
      </c>
      <c r="T1957" s="9">
        <f t="shared" si="229"/>
        <v>41052.583333333328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24"/>
        <v>2.9403333333333332</v>
      </c>
      <c r="P1958">
        <f t="shared" si="225"/>
        <v>118210</v>
      </c>
      <c r="Q1958" t="str">
        <f t="shared" si="230"/>
        <v>technology</v>
      </c>
      <c r="R1958" t="str">
        <f t="shared" si="231"/>
        <v>hardware</v>
      </c>
      <c r="S1958" s="9">
        <f t="shared" si="226"/>
        <v>42067.71533564815</v>
      </c>
      <c r="T1958" s="9">
        <f t="shared" si="229"/>
        <v>42112.673668981479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24"/>
        <v>1.6750470000000002</v>
      </c>
      <c r="P1959">
        <f t="shared" si="225"/>
        <v>40125.705000000002</v>
      </c>
      <c r="Q1959" t="str">
        <f t="shared" si="230"/>
        <v>technology</v>
      </c>
      <c r="R1959" t="str">
        <f t="shared" si="231"/>
        <v>hardware</v>
      </c>
      <c r="S1959" s="9">
        <f t="shared" si="226"/>
        <v>41178.890196759261</v>
      </c>
      <c r="T1959" s="9">
        <f t="shared" si="229"/>
        <v>41208.890196759261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24"/>
        <v>14.355717142857143</v>
      </c>
      <c r="P1960">
        <f t="shared" si="225"/>
        <v>53745.01</v>
      </c>
      <c r="Q1960" t="str">
        <f t="shared" si="230"/>
        <v>technology</v>
      </c>
      <c r="R1960" t="str">
        <f t="shared" si="231"/>
        <v>hardware</v>
      </c>
      <c r="S1960" s="9">
        <f t="shared" si="226"/>
        <v>41326.779641203699</v>
      </c>
      <c r="T1960" s="9">
        <f t="shared" si="229"/>
        <v>41356.737974537034</v>
      </c>
    </row>
    <row r="1961" spans="1:20" ht="43.5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24"/>
        <v>1.5673440000000001</v>
      </c>
      <c r="P1961">
        <f t="shared" si="225"/>
        <v>12836.720000000001</v>
      </c>
      <c r="Q1961" t="str">
        <f t="shared" si="230"/>
        <v>technology</v>
      </c>
      <c r="R1961" t="str">
        <f t="shared" si="231"/>
        <v>hardware</v>
      </c>
      <c r="S1961" s="9">
        <f t="shared" si="226"/>
        <v>41871.637268518512</v>
      </c>
      <c r="T1961" s="9">
        <f t="shared" si="229"/>
        <v>41912.791666666664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24"/>
        <v>1.1790285714285715</v>
      </c>
      <c r="P1962">
        <f t="shared" si="225"/>
        <v>76266</v>
      </c>
      <c r="Q1962" t="str">
        <f t="shared" si="230"/>
        <v>technology</v>
      </c>
      <c r="R1962" t="str">
        <f t="shared" si="231"/>
        <v>hardware</v>
      </c>
      <c r="S1962" s="9">
        <f t="shared" si="226"/>
        <v>41964.154409722221</v>
      </c>
      <c r="T1962" s="9">
        <f t="shared" si="229"/>
        <v>41994.154409722221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24"/>
        <v>11.053811999999999</v>
      </c>
      <c r="P1963">
        <f t="shared" si="225"/>
        <v>60269.06</v>
      </c>
      <c r="Q1963" t="str">
        <f t="shared" si="230"/>
        <v>technology</v>
      </c>
      <c r="R1963" t="str">
        <f t="shared" si="231"/>
        <v>hardware</v>
      </c>
      <c r="S1963" s="9">
        <f t="shared" si="226"/>
        <v>41147.986307870371</v>
      </c>
      <c r="T1963" s="9">
        <f t="shared" si="229"/>
        <v>41187.957638888889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24"/>
        <v>1.9292499999999999</v>
      </c>
      <c r="P1964">
        <f t="shared" si="225"/>
        <v>14646.25</v>
      </c>
      <c r="Q1964" t="str">
        <f t="shared" si="230"/>
        <v>technology</v>
      </c>
      <c r="R1964" t="str">
        <f t="shared" si="231"/>
        <v>hardware</v>
      </c>
      <c r="S1964" s="9">
        <f t="shared" si="226"/>
        <v>41742.572175925925</v>
      </c>
      <c r="T1964" s="9">
        <f t="shared" si="229"/>
        <v>41772.572175925925</v>
      </c>
    </row>
    <row r="1965" spans="1:20" ht="43.5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24"/>
        <v>1.268842105263158</v>
      </c>
      <c r="P1965">
        <f t="shared" si="225"/>
        <v>21554</v>
      </c>
      <c r="Q1965" t="str">
        <f t="shared" si="230"/>
        <v>technology</v>
      </c>
      <c r="R1965" t="str">
        <f t="shared" si="231"/>
        <v>hardware</v>
      </c>
      <c r="S1965" s="9">
        <f t="shared" si="226"/>
        <v>41863.221458333333</v>
      </c>
      <c r="T1965" s="9">
        <f t="shared" si="229"/>
        <v>41898.221458333333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24"/>
        <v>2.5957748878923765</v>
      </c>
      <c r="P1966">
        <f t="shared" si="225"/>
        <v>160371.56</v>
      </c>
      <c r="Q1966" t="str">
        <f t="shared" si="230"/>
        <v>technology</v>
      </c>
      <c r="R1966" t="str">
        <f t="shared" si="231"/>
        <v>hardware</v>
      </c>
      <c r="S1966" s="9">
        <f t="shared" si="226"/>
        <v>42452.064490740733</v>
      </c>
      <c r="T1966" s="9">
        <f t="shared" si="229"/>
        <v>42482.064490740733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24"/>
        <v>2.6227999999999998</v>
      </c>
      <c r="P1967">
        <f t="shared" si="225"/>
        <v>9057</v>
      </c>
      <c r="Q1967" t="str">
        <f t="shared" si="230"/>
        <v>technology</v>
      </c>
      <c r="R1967" t="str">
        <f t="shared" si="231"/>
        <v>hardware</v>
      </c>
      <c r="S1967" s="9">
        <f t="shared" si="226"/>
        <v>40897.880902777775</v>
      </c>
      <c r="T1967" s="9">
        <f t="shared" si="229"/>
        <v>40919.833333333328</v>
      </c>
    </row>
    <row r="1968" spans="1:20" ht="43.5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24"/>
        <v>2.0674309000000002</v>
      </c>
      <c r="P1968">
        <f t="shared" si="225"/>
        <v>153371.54499999998</v>
      </c>
      <c r="Q1968" t="str">
        <f t="shared" si="230"/>
        <v>technology</v>
      </c>
      <c r="R1968" t="str">
        <f t="shared" si="231"/>
        <v>hardware</v>
      </c>
      <c r="S1968" s="9">
        <f t="shared" si="226"/>
        <v>41835.332152777773</v>
      </c>
      <c r="T1968" s="9">
        <f t="shared" si="229"/>
        <v>41865.332152777773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24"/>
        <v>3.7012999999999998</v>
      </c>
      <c r="P1969">
        <f t="shared" si="225"/>
        <v>47013</v>
      </c>
      <c r="Q1969" t="str">
        <f t="shared" si="230"/>
        <v>technology</v>
      </c>
      <c r="R1969" t="str">
        <f t="shared" si="231"/>
        <v>hardware</v>
      </c>
      <c r="S1969" s="9">
        <f t="shared" si="226"/>
        <v>41730.455196759256</v>
      </c>
      <c r="T1969" s="9">
        <f t="shared" si="229"/>
        <v>41760.455196759256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24"/>
        <v>2.8496600000000001</v>
      </c>
      <c r="P1970">
        <f t="shared" si="225"/>
        <v>96241.5</v>
      </c>
      <c r="Q1970" t="str">
        <f t="shared" si="230"/>
        <v>technology</v>
      </c>
      <c r="R1970" t="str">
        <f t="shared" si="231"/>
        <v>hardware</v>
      </c>
      <c r="S1970" s="9">
        <f t="shared" si="226"/>
        <v>42676.378645833327</v>
      </c>
      <c r="T1970" s="9">
        <f t="shared" si="229"/>
        <v>42707.420312499999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24"/>
        <v>5.7907999999999999</v>
      </c>
      <c r="P1971">
        <f t="shared" si="225"/>
        <v>67908</v>
      </c>
      <c r="Q1971" t="str">
        <f t="shared" si="230"/>
        <v>technology</v>
      </c>
      <c r="R1971" t="str">
        <f t="shared" si="231"/>
        <v>hardware</v>
      </c>
      <c r="S1971" s="9">
        <f t="shared" si="226"/>
        <v>42557.584120370368</v>
      </c>
      <c r="T1971" s="9">
        <f t="shared" si="229"/>
        <v>42587.584120370368</v>
      </c>
    </row>
    <row r="1972" spans="1:20" ht="29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24"/>
        <v>11.318</v>
      </c>
      <c r="P1972">
        <f t="shared" si="225"/>
        <v>30795</v>
      </c>
      <c r="Q1972" t="str">
        <f t="shared" si="230"/>
        <v>technology</v>
      </c>
      <c r="R1972" t="str">
        <f t="shared" si="231"/>
        <v>hardware</v>
      </c>
      <c r="S1972" s="9">
        <f t="shared" si="226"/>
        <v>41323.984965277778</v>
      </c>
      <c r="T1972" s="9">
        <f t="shared" si="229"/>
        <v>41383.943298611106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24"/>
        <v>2.6302771750000002</v>
      </c>
      <c r="P1973">
        <f t="shared" si="225"/>
        <v>726055.43500000006</v>
      </c>
      <c r="Q1973" t="str">
        <f t="shared" si="230"/>
        <v>technology</v>
      </c>
      <c r="R1973" t="str">
        <f t="shared" si="231"/>
        <v>hardware</v>
      </c>
      <c r="S1973" s="9">
        <f t="shared" si="226"/>
        <v>41561.29237268518</v>
      </c>
      <c r="T1973" s="9">
        <f t="shared" si="229"/>
        <v>41592.958333333328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24"/>
        <v>6.7447999999999997</v>
      </c>
      <c r="P1974">
        <f t="shared" si="225"/>
        <v>9681</v>
      </c>
      <c r="Q1974" t="str">
        <f t="shared" si="230"/>
        <v>technology</v>
      </c>
      <c r="R1974" t="str">
        <f t="shared" si="231"/>
        <v>hardware</v>
      </c>
      <c r="S1974" s="9">
        <f t="shared" si="226"/>
        <v>41200.803749999999</v>
      </c>
      <c r="T1974" s="9">
        <f t="shared" si="229"/>
        <v>41230.845416666663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24"/>
        <v>2.5683081313131315</v>
      </c>
      <c r="P1975">
        <f t="shared" si="225"/>
        <v>353262.505</v>
      </c>
      <c r="Q1975" t="str">
        <f t="shared" si="230"/>
        <v>technology</v>
      </c>
      <c r="R1975" t="str">
        <f t="shared" si="231"/>
        <v>hardware</v>
      </c>
      <c r="S1975" s="9">
        <f t="shared" si="226"/>
        <v>42549.514629629623</v>
      </c>
      <c r="T1975" s="9">
        <f t="shared" si="229"/>
        <v>42588.083333333336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24"/>
        <v>3.7549600000000001</v>
      </c>
      <c r="P1976">
        <f t="shared" si="225"/>
        <v>47549.599999999999</v>
      </c>
      <c r="Q1976" t="str">
        <f t="shared" si="230"/>
        <v>technology</v>
      </c>
      <c r="R1976" t="str">
        <f t="shared" si="231"/>
        <v>hardware</v>
      </c>
      <c r="S1976" s="9">
        <f t="shared" si="226"/>
        <v>41445.125798611109</v>
      </c>
      <c r="T1976" s="9">
        <f t="shared" si="229"/>
        <v>41505.125798611109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24"/>
        <v>2.0870837499999997</v>
      </c>
      <c r="P1977">
        <f t="shared" si="225"/>
        <v>24696.67</v>
      </c>
      <c r="Q1977" t="str">
        <f t="shared" si="230"/>
        <v>technology</v>
      </c>
      <c r="R1977" t="str">
        <f t="shared" si="231"/>
        <v>hardware</v>
      </c>
      <c r="S1977" s="9">
        <f t="shared" si="226"/>
        <v>41313.54688657407</v>
      </c>
      <c r="T1977" s="9">
        <f t="shared" si="229"/>
        <v>41343.54688657407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24"/>
        <v>3.4660000000000002</v>
      </c>
      <c r="P1978">
        <f t="shared" si="225"/>
        <v>8932</v>
      </c>
      <c r="Q1978" t="str">
        <f t="shared" si="230"/>
        <v>technology</v>
      </c>
      <c r="R1978" t="str">
        <f t="shared" si="231"/>
        <v>hardware</v>
      </c>
      <c r="S1978" s="9">
        <f t="shared" si="226"/>
        <v>41438.691261574073</v>
      </c>
      <c r="T1978" s="9">
        <f t="shared" si="229"/>
        <v>41468.691261574073</v>
      </c>
    </row>
    <row r="1979" spans="1:20" ht="29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24"/>
        <v>4.0232999999999999</v>
      </c>
      <c r="P1979">
        <f t="shared" si="225"/>
        <v>125582.5</v>
      </c>
      <c r="Q1979" t="str">
        <f t="shared" si="230"/>
        <v>technology</v>
      </c>
      <c r="R1979" t="str">
        <f t="shared" si="231"/>
        <v>hardware</v>
      </c>
      <c r="S1979" s="9">
        <f t="shared" si="226"/>
        <v>42311.008564814816</v>
      </c>
      <c r="T1979" s="9">
        <f t="shared" si="229"/>
        <v>42357.124305555553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24"/>
        <v>10.2684514</v>
      </c>
      <c r="P1980">
        <f t="shared" si="225"/>
        <v>281711.28500000003</v>
      </c>
      <c r="Q1980" t="str">
        <f t="shared" si="230"/>
        <v>technology</v>
      </c>
      <c r="R1980" t="str">
        <f t="shared" si="231"/>
        <v>hardware</v>
      </c>
      <c r="S1980" s="9">
        <f t="shared" si="226"/>
        <v>41039.017268518517</v>
      </c>
      <c r="T1980" s="9">
        <f t="shared" si="229"/>
        <v>41072.083333333328</v>
      </c>
    </row>
    <row r="1981" spans="1:20" ht="29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24"/>
        <v>1.14901155</v>
      </c>
      <c r="P1981">
        <f t="shared" si="225"/>
        <v>214901.155</v>
      </c>
      <c r="Q1981" t="str">
        <f t="shared" si="230"/>
        <v>technology</v>
      </c>
      <c r="R1981" t="str">
        <f t="shared" si="231"/>
        <v>hardware</v>
      </c>
      <c r="S1981" s="9">
        <f t="shared" si="226"/>
        <v>42290.25168981481</v>
      </c>
      <c r="T1981" s="9">
        <f t="shared" si="229"/>
        <v>42326.999305555553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24"/>
        <v>3.5482402000000004</v>
      </c>
      <c r="P1982">
        <f t="shared" si="225"/>
        <v>113706.005</v>
      </c>
      <c r="Q1982" t="str">
        <f t="shared" si="230"/>
        <v>technology</v>
      </c>
      <c r="R1982" t="str">
        <f t="shared" si="231"/>
        <v>hardware</v>
      </c>
      <c r="S1982" s="9">
        <f t="shared" si="226"/>
        <v>42423.334050925921</v>
      </c>
      <c r="T1982" s="9">
        <f t="shared" si="229"/>
        <v>42463.292384259257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24"/>
        <v>5.0799999999999998E-2</v>
      </c>
      <c r="P1983">
        <f t="shared" si="225"/>
        <v>3940.5</v>
      </c>
      <c r="Q1983" t="str">
        <f>IF(N1983="photography/people","photography")</f>
        <v>photography</v>
      </c>
      <c r="R1983" t="str">
        <f>IF(N1983="photography/people","people")</f>
        <v>people</v>
      </c>
      <c r="S1983" s="9">
        <f t="shared" si="226"/>
        <v>41799.516956018517</v>
      </c>
      <c r="T1983" s="9">
        <f t="shared" si="229"/>
        <v>41829.516956018517</v>
      </c>
    </row>
    <row r="1984" spans="1:20" ht="29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24"/>
        <v>0</v>
      </c>
      <c r="P1984">
        <f t="shared" si="225"/>
        <v>90000</v>
      </c>
      <c r="Q1984" t="str">
        <f t="shared" ref="Q1984:Q2002" si="232">IF(N1984="photography/people","photography")</f>
        <v>photography</v>
      </c>
      <c r="R1984" t="str">
        <f t="shared" ref="R1984:R2002" si="233">IF(N1984="photography/people","people")</f>
        <v>people</v>
      </c>
      <c r="S1984" s="9">
        <f t="shared" si="226"/>
        <v>42678.378321759257</v>
      </c>
      <c r="T1984" s="9">
        <f t="shared" si="229"/>
        <v>42708.419988425921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24"/>
        <v>4.2999999999999997E-2</v>
      </c>
      <c r="P1985">
        <f t="shared" si="225"/>
        <v>17209.5</v>
      </c>
      <c r="Q1985" t="str">
        <f t="shared" si="232"/>
        <v>photography</v>
      </c>
      <c r="R1985" t="str">
        <f t="shared" si="233"/>
        <v>people</v>
      </c>
      <c r="S1985" s="9">
        <f t="shared" si="226"/>
        <v>42592.803449074076</v>
      </c>
      <c r="T1985" s="9">
        <f t="shared" si="229"/>
        <v>42615.083333333336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24"/>
        <v>0.21146666666666666</v>
      </c>
      <c r="P1986">
        <f t="shared" si="225"/>
        <v>9086</v>
      </c>
      <c r="Q1986" t="str">
        <f t="shared" si="232"/>
        <v>photography</v>
      </c>
      <c r="R1986" t="str">
        <f t="shared" si="233"/>
        <v>people</v>
      </c>
      <c r="S1986" s="9">
        <f t="shared" si="226"/>
        <v>41913.581956018512</v>
      </c>
      <c r="T1986" s="9">
        <f t="shared" si="229"/>
        <v>41973.623622685183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34">E1987/D1987</f>
        <v>3.1875000000000001E-2</v>
      </c>
      <c r="P1987">
        <f t="shared" ref="P1987:P2050" si="235">AVERAGE(D1987:E1987)</f>
        <v>825.5</v>
      </c>
      <c r="Q1987" t="str">
        <f t="shared" si="232"/>
        <v>photography</v>
      </c>
      <c r="R1987" t="str">
        <f t="shared" si="233"/>
        <v>people</v>
      </c>
      <c r="S1987" s="9">
        <f t="shared" ref="S1987:S2050" si="236">J1987/86400+25569+(-5/24)</f>
        <v>42555.490405092591</v>
      </c>
      <c r="T1987" s="9">
        <f t="shared" si="229"/>
        <v>42584.749999999993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34"/>
        <v>5.0000000000000001E-4</v>
      </c>
      <c r="P1988">
        <f t="shared" si="235"/>
        <v>1000.5</v>
      </c>
      <c r="Q1988" t="str">
        <f t="shared" si="232"/>
        <v>photography</v>
      </c>
      <c r="R1988" t="str">
        <f t="shared" si="233"/>
        <v>people</v>
      </c>
      <c r="S1988" s="9">
        <f t="shared" si="236"/>
        <v>42413.225497685184</v>
      </c>
      <c r="T1988" s="9">
        <f t="shared" ref="T1988:T2051" si="237">I1988/86400+25569+(-5/24)</f>
        <v>42443.183831018519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34"/>
        <v>0.42472727272727273</v>
      </c>
      <c r="P1989">
        <f t="shared" si="235"/>
        <v>3918</v>
      </c>
      <c r="Q1989" t="str">
        <f t="shared" si="232"/>
        <v>photography</v>
      </c>
      <c r="R1989" t="str">
        <f t="shared" si="233"/>
        <v>people</v>
      </c>
      <c r="S1989" s="9">
        <f t="shared" si="236"/>
        <v>42034.431435185186</v>
      </c>
      <c r="T1989" s="9">
        <f t="shared" si="237"/>
        <v>42064.431435185186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34"/>
        <v>4.1666666666666666E-3</v>
      </c>
      <c r="P1990">
        <f t="shared" si="235"/>
        <v>3012.5</v>
      </c>
      <c r="Q1990" t="str">
        <f t="shared" si="232"/>
        <v>photography</v>
      </c>
      <c r="R1990" t="str">
        <f t="shared" si="233"/>
        <v>people</v>
      </c>
      <c r="S1990" s="9">
        <f t="shared" si="236"/>
        <v>42206.554884259262</v>
      </c>
      <c r="T1990" s="9">
        <f t="shared" si="237"/>
        <v>42236.554884259262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34"/>
        <v>0.01</v>
      </c>
      <c r="P1991">
        <f t="shared" si="235"/>
        <v>2525</v>
      </c>
      <c r="Q1991" t="str">
        <f t="shared" si="232"/>
        <v>photography</v>
      </c>
      <c r="R1991" t="str">
        <f t="shared" si="233"/>
        <v>people</v>
      </c>
      <c r="S1991" s="9">
        <f t="shared" si="236"/>
        <v>42685.472314814811</v>
      </c>
      <c r="T1991" s="9">
        <f t="shared" si="237"/>
        <v>42715.472314814811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34"/>
        <v>0.16966666666666666</v>
      </c>
      <c r="P1992">
        <f t="shared" si="235"/>
        <v>1754.5</v>
      </c>
      <c r="Q1992" t="str">
        <f t="shared" si="232"/>
        <v>photography</v>
      </c>
      <c r="R1992" t="str">
        <f t="shared" si="233"/>
        <v>people</v>
      </c>
      <c r="S1992" s="9">
        <f t="shared" si="236"/>
        <v>42397.987638888888</v>
      </c>
      <c r="T1992" s="9">
        <f t="shared" si="237"/>
        <v>42412.987638888888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34"/>
        <v>7.0000000000000007E-2</v>
      </c>
      <c r="P1993">
        <f t="shared" si="235"/>
        <v>1070</v>
      </c>
      <c r="Q1993" t="str">
        <f t="shared" si="232"/>
        <v>photography</v>
      </c>
      <c r="R1993" t="str">
        <f t="shared" si="233"/>
        <v>people</v>
      </c>
      <c r="S1993" s="9">
        <f t="shared" si="236"/>
        <v>42167.685023148144</v>
      </c>
      <c r="T1993" s="9">
        <f t="shared" si="237"/>
        <v>42188.685023148144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34"/>
        <v>1.3333333333333333E-3</v>
      </c>
      <c r="P1994">
        <f t="shared" si="235"/>
        <v>751</v>
      </c>
      <c r="Q1994" t="str">
        <f t="shared" si="232"/>
        <v>photography</v>
      </c>
      <c r="R1994" t="str">
        <f t="shared" si="233"/>
        <v>people</v>
      </c>
      <c r="S1994" s="9">
        <f t="shared" si="236"/>
        <v>42022.935081018521</v>
      </c>
      <c r="T1994" s="9">
        <f t="shared" si="237"/>
        <v>42052.935081018521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34"/>
        <v>0</v>
      </c>
      <c r="P1995">
        <f t="shared" si="235"/>
        <v>1000</v>
      </c>
      <c r="Q1995" t="str">
        <f t="shared" si="232"/>
        <v>photography</v>
      </c>
      <c r="R1995" t="str">
        <f t="shared" si="233"/>
        <v>people</v>
      </c>
      <c r="S1995" s="9">
        <f t="shared" si="236"/>
        <v>42329.380057870367</v>
      </c>
      <c r="T1995" s="9">
        <f t="shared" si="237"/>
        <v>42359.380057870367</v>
      </c>
    </row>
    <row r="1996" spans="1:20" ht="43.5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34"/>
        <v>0</v>
      </c>
      <c r="P1996">
        <f t="shared" si="235"/>
        <v>1600</v>
      </c>
      <c r="Q1996" t="str">
        <f t="shared" si="232"/>
        <v>photography</v>
      </c>
      <c r="R1996" t="str">
        <f t="shared" si="233"/>
        <v>people</v>
      </c>
      <c r="S1996" s="9">
        <f t="shared" si="236"/>
        <v>42650.797939814809</v>
      </c>
      <c r="T1996" s="9">
        <f t="shared" si="237"/>
        <v>42710.839606481481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34"/>
        <v>7.8E-2</v>
      </c>
      <c r="P1997">
        <f t="shared" si="235"/>
        <v>539</v>
      </c>
      <c r="Q1997" t="str">
        <f t="shared" si="232"/>
        <v>photography</v>
      </c>
      <c r="R1997" t="str">
        <f t="shared" si="233"/>
        <v>people</v>
      </c>
      <c r="S1997" s="9">
        <f t="shared" si="236"/>
        <v>42181.693703703706</v>
      </c>
      <c r="T1997" s="9">
        <f t="shared" si="237"/>
        <v>42201.693703703706</v>
      </c>
    </row>
    <row r="1998" spans="1:20" ht="43.5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34"/>
        <v>0</v>
      </c>
      <c r="P1998">
        <f t="shared" si="235"/>
        <v>66900</v>
      </c>
      <c r="Q1998" t="str">
        <f t="shared" si="232"/>
        <v>photography</v>
      </c>
      <c r="R1998" t="str">
        <f t="shared" si="233"/>
        <v>people</v>
      </c>
      <c r="S1998" s="9">
        <f t="shared" si="236"/>
        <v>41800.611238425925</v>
      </c>
      <c r="T1998" s="9">
        <f t="shared" si="237"/>
        <v>41830.611238425925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34"/>
        <v>0</v>
      </c>
      <c r="P1999">
        <f t="shared" si="235"/>
        <v>3250</v>
      </c>
      <c r="Q1999" t="str">
        <f t="shared" si="232"/>
        <v>photography</v>
      </c>
      <c r="R1999" t="str">
        <f t="shared" si="233"/>
        <v>people</v>
      </c>
      <c r="S1999" s="9">
        <f t="shared" si="236"/>
        <v>41847.722361111111</v>
      </c>
      <c r="T1999" s="9">
        <f t="shared" si="237"/>
        <v>41877.722361111111</v>
      </c>
    </row>
    <row r="2000" spans="1:20" ht="43.5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34"/>
        <v>0.26200000000000001</v>
      </c>
      <c r="P2000">
        <f t="shared" si="235"/>
        <v>1577.5</v>
      </c>
      <c r="Q2000" t="str">
        <f t="shared" si="232"/>
        <v>photography</v>
      </c>
      <c r="R2000" t="str">
        <f t="shared" si="233"/>
        <v>people</v>
      </c>
      <c r="S2000" s="9">
        <f t="shared" si="236"/>
        <v>41806.910162037035</v>
      </c>
      <c r="T2000" s="9">
        <f t="shared" si="237"/>
        <v>41851.910162037035</v>
      </c>
    </row>
    <row r="2001" spans="1:20" ht="29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34"/>
        <v>7.6129032258064515E-3</v>
      </c>
      <c r="P2001">
        <f t="shared" si="235"/>
        <v>15618</v>
      </c>
      <c r="Q2001" t="str">
        <f t="shared" si="232"/>
        <v>photography</v>
      </c>
      <c r="R2001" t="str">
        <f t="shared" si="233"/>
        <v>people</v>
      </c>
      <c r="S2001" s="9">
        <f t="shared" si="236"/>
        <v>41926.274398148147</v>
      </c>
      <c r="T2001" s="9">
        <f t="shared" si="237"/>
        <v>41956.316064814811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34"/>
        <v>0.125</v>
      </c>
      <c r="P2002">
        <f t="shared" si="235"/>
        <v>2812.5</v>
      </c>
      <c r="Q2002" t="str">
        <f t="shared" si="232"/>
        <v>photography</v>
      </c>
      <c r="R2002" t="str">
        <f t="shared" si="233"/>
        <v>people</v>
      </c>
      <c r="S2002" s="9">
        <f t="shared" si="236"/>
        <v>42345.743206018517</v>
      </c>
      <c r="T2002" s="9">
        <f t="shared" si="237"/>
        <v>42375.743206018517</v>
      </c>
    </row>
    <row r="2003" spans="1:20" ht="29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34"/>
        <v>3.8212909090909091</v>
      </c>
      <c r="P2003">
        <f t="shared" si="235"/>
        <v>132585.5</v>
      </c>
      <c r="Q2003" t="str">
        <f>IF(N2003="technology/hardware","technology")</f>
        <v>technology</v>
      </c>
      <c r="R2003" t="str">
        <f>IF(N2003="technology/hardware","hardware")</f>
        <v>hardware</v>
      </c>
      <c r="S2003" s="9">
        <f t="shared" si="236"/>
        <v>42136.001342592594</v>
      </c>
      <c r="T2003" s="9">
        <f t="shared" si="237"/>
        <v>42167.624999999993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34"/>
        <v>2.1679422000000002</v>
      </c>
      <c r="P2004">
        <f t="shared" si="235"/>
        <v>79198.554999999993</v>
      </c>
      <c r="Q2004" t="str">
        <f t="shared" ref="Q2004:Q2067" si="238">IF(N2004="technology/hardware","technology")</f>
        <v>technology</v>
      </c>
      <c r="R2004" t="str">
        <f t="shared" ref="R2004:R2067" si="239">IF(N2004="technology/hardware","hardware")</f>
        <v>hardware</v>
      </c>
      <c r="S2004" s="9">
        <f t="shared" si="236"/>
        <v>42728.503969907404</v>
      </c>
      <c r="T2004" s="9">
        <f t="shared" si="237"/>
        <v>42758.503969907404</v>
      </c>
    </row>
    <row r="2005" spans="1:20" ht="43.5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34"/>
        <v>3.12</v>
      </c>
      <c r="P2005">
        <f t="shared" si="235"/>
        <v>1030</v>
      </c>
      <c r="Q2005" t="str">
        <f t="shared" si="238"/>
        <v>technology</v>
      </c>
      <c r="R2005" t="str">
        <f t="shared" si="239"/>
        <v>hardware</v>
      </c>
      <c r="S2005" s="9">
        <f t="shared" si="236"/>
        <v>40346.917268518519</v>
      </c>
      <c r="T2005" s="9">
        <f t="shared" si="237"/>
        <v>40361.75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34"/>
        <v>2.3442048</v>
      </c>
      <c r="P2006">
        <f t="shared" si="235"/>
        <v>83605.119999999995</v>
      </c>
      <c r="Q2006" t="str">
        <f t="shared" si="238"/>
        <v>technology</v>
      </c>
      <c r="R2006" t="str">
        <f t="shared" si="239"/>
        <v>hardware</v>
      </c>
      <c r="S2006" s="9">
        <f t="shared" si="236"/>
        <v>41800.396562499998</v>
      </c>
      <c r="T2006" s="9">
        <f t="shared" si="237"/>
        <v>41830.396562499998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34"/>
        <v>1.236801</v>
      </c>
      <c r="P2007">
        <f t="shared" si="235"/>
        <v>33552.014999999999</v>
      </c>
      <c r="Q2007" t="str">
        <f t="shared" si="238"/>
        <v>technology</v>
      </c>
      <c r="R2007" t="str">
        <f t="shared" si="239"/>
        <v>hardware</v>
      </c>
      <c r="S2007" s="9">
        <f t="shared" si="236"/>
        <v>41535.604374999995</v>
      </c>
      <c r="T2007" s="9">
        <f t="shared" si="237"/>
        <v>41562.957638888889</v>
      </c>
    </row>
    <row r="2008" spans="1:20" ht="43.5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34"/>
        <v>2.4784000000000002</v>
      </c>
      <c r="P2008">
        <f t="shared" si="235"/>
        <v>86960</v>
      </c>
      <c r="Q2008" t="str">
        <f t="shared" si="238"/>
        <v>technology</v>
      </c>
      <c r="R2008" t="str">
        <f t="shared" si="239"/>
        <v>hardware</v>
      </c>
      <c r="S2008" s="9">
        <f t="shared" si="236"/>
        <v>41941.292187499996</v>
      </c>
      <c r="T2008" s="9">
        <f t="shared" si="237"/>
        <v>41976.333854166667</v>
      </c>
    </row>
    <row r="2009" spans="1:20" ht="43.5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34"/>
        <v>1.157092</v>
      </c>
      <c r="P2009">
        <f t="shared" si="235"/>
        <v>10785.46</v>
      </c>
      <c r="Q2009" t="str">
        <f t="shared" si="238"/>
        <v>technology</v>
      </c>
      <c r="R2009" t="str">
        <f t="shared" si="239"/>
        <v>hardware</v>
      </c>
      <c r="S2009" s="9">
        <f t="shared" si="236"/>
        <v>40347.629467592589</v>
      </c>
      <c r="T2009" s="9">
        <f t="shared" si="237"/>
        <v>40413.958333333328</v>
      </c>
    </row>
    <row r="2010" spans="1:20" ht="43.5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34"/>
        <v>1.1707484768810599</v>
      </c>
      <c r="P2010">
        <f t="shared" si="235"/>
        <v>1704.895</v>
      </c>
      <c r="Q2010" t="str">
        <f t="shared" si="238"/>
        <v>technology</v>
      </c>
      <c r="R2010" t="str">
        <f t="shared" si="239"/>
        <v>hardware</v>
      </c>
      <c r="S2010" s="9">
        <f t="shared" si="236"/>
        <v>40761.396087962959</v>
      </c>
      <c r="T2010" s="9">
        <f t="shared" si="237"/>
        <v>40805.396087962959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34"/>
        <v>3.05158</v>
      </c>
      <c r="P2011">
        <f t="shared" si="235"/>
        <v>101289.5</v>
      </c>
      <c r="Q2011" t="str">
        <f t="shared" si="238"/>
        <v>technology</v>
      </c>
      <c r="R2011" t="str">
        <f t="shared" si="239"/>
        <v>hardware</v>
      </c>
      <c r="S2011" s="9">
        <f t="shared" si="236"/>
        <v>42661.115081018514</v>
      </c>
      <c r="T2011" s="9">
        <f t="shared" si="237"/>
        <v>42697.156747685185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34"/>
        <v>3.2005299999999997</v>
      </c>
      <c r="P2012">
        <f t="shared" si="235"/>
        <v>63007.95</v>
      </c>
      <c r="Q2012" t="str">
        <f t="shared" si="238"/>
        <v>technology</v>
      </c>
      <c r="R2012" t="str">
        <f t="shared" si="239"/>
        <v>hardware</v>
      </c>
      <c r="S2012" s="9">
        <f t="shared" si="236"/>
        <v>42570.788090277776</v>
      </c>
      <c r="T2012" s="9">
        <f t="shared" si="237"/>
        <v>42600.788090277776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34"/>
        <v>8.1956399999999991</v>
      </c>
      <c r="P2013">
        <f t="shared" si="235"/>
        <v>229891</v>
      </c>
      <c r="Q2013" t="str">
        <f t="shared" si="238"/>
        <v>technology</v>
      </c>
      <c r="R2013" t="str">
        <f t="shared" si="239"/>
        <v>hardware</v>
      </c>
      <c r="S2013" s="9">
        <f t="shared" si="236"/>
        <v>42347.150150462963</v>
      </c>
      <c r="T2013" s="9">
        <f t="shared" si="237"/>
        <v>42380.749999999993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34"/>
        <v>2.3490000000000002</v>
      </c>
      <c r="P2014">
        <f t="shared" si="235"/>
        <v>8372.5</v>
      </c>
      <c r="Q2014" t="str">
        <f t="shared" si="238"/>
        <v>technology</v>
      </c>
      <c r="R2014" t="str">
        <f t="shared" si="239"/>
        <v>hardware</v>
      </c>
      <c r="S2014" s="9">
        <f t="shared" si="236"/>
        <v>42010.613900462959</v>
      </c>
      <c r="T2014" s="9">
        <f t="shared" si="237"/>
        <v>42040.613900462959</v>
      </c>
    </row>
    <row r="2015" spans="1:20" ht="43.5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34"/>
        <v>4.9491375</v>
      </c>
      <c r="P2015">
        <f t="shared" si="235"/>
        <v>475931</v>
      </c>
      <c r="Q2015" t="str">
        <f t="shared" si="238"/>
        <v>technology</v>
      </c>
      <c r="R2015" t="str">
        <f t="shared" si="239"/>
        <v>hardware</v>
      </c>
      <c r="S2015" s="9">
        <f t="shared" si="236"/>
        <v>42499.752476851849</v>
      </c>
      <c r="T2015" s="9">
        <f t="shared" si="237"/>
        <v>42559.752476851849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34"/>
        <v>78.137822333333332</v>
      </c>
      <c r="P2016">
        <f t="shared" si="235"/>
        <v>1187067.335</v>
      </c>
      <c r="Q2016" t="str">
        <f t="shared" si="238"/>
        <v>technology</v>
      </c>
      <c r="R2016" t="str">
        <f t="shared" si="239"/>
        <v>hardware</v>
      </c>
      <c r="S2016" s="9">
        <f t="shared" si="236"/>
        <v>41324.006238425922</v>
      </c>
      <c r="T2016" s="9">
        <f t="shared" si="237"/>
        <v>41357.964571759258</v>
      </c>
    </row>
    <row r="2017" spans="1:20" ht="29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34"/>
        <v>1.1300013888888889</v>
      </c>
      <c r="P2017">
        <f t="shared" si="235"/>
        <v>7668.0050000000001</v>
      </c>
      <c r="Q2017" t="str">
        <f t="shared" si="238"/>
        <v>technology</v>
      </c>
      <c r="R2017" t="str">
        <f t="shared" si="239"/>
        <v>hardware</v>
      </c>
      <c r="S2017" s="9">
        <f t="shared" si="236"/>
        <v>40765.668553240735</v>
      </c>
      <c r="T2017" s="9">
        <f t="shared" si="237"/>
        <v>40795.668553240735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34"/>
        <v>9.2154220000000002</v>
      </c>
      <c r="P2018">
        <f t="shared" si="235"/>
        <v>51077.11</v>
      </c>
      <c r="Q2018" t="str">
        <f t="shared" si="238"/>
        <v>technology</v>
      </c>
      <c r="R2018" t="str">
        <f t="shared" si="239"/>
        <v>hardware</v>
      </c>
      <c r="S2018" s="9">
        <f t="shared" si="236"/>
        <v>41312.672442129631</v>
      </c>
      <c r="T2018" s="9">
        <f t="shared" si="237"/>
        <v>41342.672442129631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34"/>
        <v>1.2510239999999999</v>
      </c>
      <c r="P2019">
        <f t="shared" si="235"/>
        <v>28137.8</v>
      </c>
      <c r="Q2019" t="str">
        <f t="shared" si="238"/>
        <v>technology</v>
      </c>
      <c r="R2019" t="str">
        <f t="shared" si="239"/>
        <v>hardware</v>
      </c>
      <c r="S2019" s="9">
        <f t="shared" si="236"/>
        <v>40960.849016203698</v>
      </c>
      <c r="T2019" s="9">
        <f t="shared" si="237"/>
        <v>40991.958333333328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34"/>
        <v>1.0224343076923077</v>
      </c>
      <c r="P2020">
        <f t="shared" si="235"/>
        <v>65729.114999999991</v>
      </c>
      <c r="Q2020" t="str">
        <f t="shared" si="238"/>
        <v>technology</v>
      </c>
      <c r="R2020" t="str">
        <f t="shared" si="239"/>
        <v>hardware</v>
      </c>
      <c r="S2020" s="9">
        <f t="shared" si="236"/>
        <v>42199.157511574071</v>
      </c>
      <c r="T2020" s="9">
        <f t="shared" si="237"/>
        <v>42229.157511574071</v>
      </c>
    </row>
    <row r="2021" spans="1:20" ht="43.5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34"/>
        <v>4.8490975000000001</v>
      </c>
      <c r="P2021">
        <f t="shared" si="235"/>
        <v>116981.95</v>
      </c>
      <c r="Q2021" t="str">
        <f t="shared" si="238"/>
        <v>technology</v>
      </c>
      <c r="R2021" t="str">
        <f t="shared" si="239"/>
        <v>hardware</v>
      </c>
      <c r="S2021" s="9">
        <f t="shared" si="236"/>
        <v>42605.500243055554</v>
      </c>
      <c r="T2021" s="9">
        <f t="shared" si="237"/>
        <v>42635.500243055554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34"/>
        <v>1.9233333333333333</v>
      </c>
      <c r="P2022">
        <f t="shared" si="235"/>
        <v>2192.5</v>
      </c>
      <c r="Q2022" t="str">
        <f t="shared" si="238"/>
        <v>technology</v>
      </c>
      <c r="R2022" t="str">
        <f t="shared" si="239"/>
        <v>hardware</v>
      </c>
      <c r="S2022" s="9">
        <f t="shared" si="236"/>
        <v>41736.889166666668</v>
      </c>
      <c r="T2022" s="9">
        <f t="shared" si="237"/>
        <v>41773.75277777778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34"/>
        <v>2.8109999999999999</v>
      </c>
      <c r="P2023">
        <f t="shared" si="235"/>
        <v>9527.5</v>
      </c>
      <c r="Q2023" t="str">
        <f t="shared" si="238"/>
        <v>technology</v>
      </c>
      <c r="R2023" t="str">
        <f t="shared" si="239"/>
        <v>hardware</v>
      </c>
      <c r="S2023" s="9">
        <f t="shared" si="236"/>
        <v>41860.862233796295</v>
      </c>
      <c r="T2023" s="9">
        <f t="shared" si="237"/>
        <v>41905.862233796295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34"/>
        <v>1.2513700000000001</v>
      </c>
      <c r="P2024">
        <f t="shared" si="235"/>
        <v>112568.5</v>
      </c>
      <c r="Q2024" t="str">
        <f t="shared" si="238"/>
        <v>technology</v>
      </c>
      <c r="R2024" t="str">
        <f t="shared" si="239"/>
        <v>hardware</v>
      </c>
      <c r="S2024" s="9">
        <f t="shared" si="236"/>
        <v>42502.36078703704</v>
      </c>
      <c r="T2024" s="9">
        <f t="shared" si="237"/>
        <v>42532.36078703704</v>
      </c>
    </row>
    <row r="2025" spans="1:20" ht="43.5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34"/>
        <v>1.61459</v>
      </c>
      <c r="P2025">
        <f t="shared" si="235"/>
        <v>130729.5</v>
      </c>
      <c r="Q2025" t="str">
        <f t="shared" si="238"/>
        <v>technology</v>
      </c>
      <c r="R2025" t="str">
        <f t="shared" si="239"/>
        <v>hardware</v>
      </c>
      <c r="S2025" s="9">
        <f t="shared" si="236"/>
        <v>42136.212418981479</v>
      </c>
      <c r="T2025" s="9">
        <f t="shared" si="237"/>
        <v>42166.212418981479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34"/>
        <v>5.8535000000000004</v>
      </c>
      <c r="P2026">
        <f t="shared" si="235"/>
        <v>13707</v>
      </c>
      <c r="Q2026" t="str">
        <f t="shared" si="238"/>
        <v>technology</v>
      </c>
      <c r="R2026" t="str">
        <f t="shared" si="239"/>
        <v>hardware</v>
      </c>
      <c r="S2026" s="9">
        <f t="shared" si="236"/>
        <v>41099.758611111109</v>
      </c>
      <c r="T2026" s="9">
        <f t="shared" si="237"/>
        <v>41133.916666666664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34"/>
        <v>2.0114999999999998</v>
      </c>
      <c r="P2027">
        <f t="shared" si="235"/>
        <v>120460</v>
      </c>
      <c r="Q2027" t="str">
        <f t="shared" si="238"/>
        <v>technology</v>
      </c>
      <c r="R2027" t="str">
        <f t="shared" si="239"/>
        <v>hardware</v>
      </c>
      <c r="S2027" s="9">
        <f t="shared" si="236"/>
        <v>42135.976226851846</v>
      </c>
      <c r="T2027" s="9">
        <f t="shared" si="237"/>
        <v>42165.976226851846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34"/>
        <v>1.3348307999999998</v>
      </c>
      <c r="P2028">
        <f t="shared" si="235"/>
        <v>29185.384999999998</v>
      </c>
      <c r="Q2028" t="str">
        <f t="shared" si="238"/>
        <v>technology</v>
      </c>
      <c r="R2028" t="str">
        <f t="shared" si="239"/>
        <v>hardware</v>
      </c>
      <c r="S2028" s="9">
        <f t="shared" si="236"/>
        <v>41704.527604166666</v>
      </c>
      <c r="T2028" s="9">
        <f t="shared" si="237"/>
        <v>41749.957638888889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34"/>
        <v>1.2024900000000001</v>
      </c>
      <c r="P2029">
        <f t="shared" si="235"/>
        <v>110124.5</v>
      </c>
      <c r="Q2029" t="str">
        <f t="shared" si="238"/>
        <v>technology</v>
      </c>
      <c r="R2029" t="str">
        <f t="shared" si="239"/>
        <v>hardware</v>
      </c>
      <c r="S2029" s="9">
        <f t="shared" si="236"/>
        <v>42048.605543981474</v>
      </c>
      <c r="T2029" s="9">
        <f t="shared" si="237"/>
        <v>42093.563877314817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34"/>
        <v>1.2616666666666667</v>
      </c>
      <c r="P2030">
        <f t="shared" si="235"/>
        <v>3392.5</v>
      </c>
      <c r="Q2030" t="str">
        <f t="shared" si="238"/>
        <v>technology</v>
      </c>
      <c r="R2030" t="str">
        <f t="shared" si="239"/>
        <v>hardware</v>
      </c>
      <c r="S2030" s="9">
        <f t="shared" si="236"/>
        <v>40215.710717592592</v>
      </c>
      <c r="T2030" s="9">
        <f t="shared" si="237"/>
        <v>40252.704861111109</v>
      </c>
    </row>
    <row r="2031" spans="1:20" ht="29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34"/>
        <v>3.6120000000000001</v>
      </c>
      <c r="P2031">
        <f t="shared" si="235"/>
        <v>5765</v>
      </c>
      <c r="Q2031" t="str">
        <f t="shared" si="238"/>
        <v>technology</v>
      </c>
      <c r="R2031" t="str">
        <f t="shared" si="239"/>
        <v>hardware</v>
      </c>
      <c r="S2031" s="9">
        <f t="shared" si="236"/>
        <v>41847.813437500001</v>
      </c>
      <c r="T2031" s="9">
        <f t="shared" si="237"/>
        <v>41877.813437500001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34"/>
        <v>2.26239013671875</v>
      </c>
      <c r="P2032">
        <f t="shared" si="235"/>
        <v>53451</v>
      </c>
      <c r="Q2032" t="str">
        <f t="shared" si="238"/>
        <v>technology</v>
      </c>
      <c r="R2032" t="str">
        <f t="shared" si="239"/>
        <v>hardware</v>
      </c>
      <c r="S2032" s="9">
        <f t="shared" si="236"/>
        <v>41212.788148148145</v>
      </c>
      <c r="T2032" s="9">
        <f t="shared" si="237"/>
        <v>41242.788148148145</v>
      </c>
    </row>
    <row r="2033" spans="1:20" ht="29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34"/>
        <v>1.2035</v>
      </c>
      <c r="P2033">
        <f t="shared" si="235"/>
        <v>55087.5</v>
      </c>
      <c r="Q2033" t="str">
        <f t="shared" si="238"/>
        <v>technology</v>
      </c>
      <c r="R2033" t="str">
        <f t="shared" si="239"/>
        <v>hardware</v>
      </c>
      <c r="S2033" s="9">
        <f t="shared" si="236"/>
        <v>41975.120983796289</v>
      </c>
      <c r="T2033" s="9">
        <f t="shared" si="237"/>
        <v>42012.833333333336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34"/>
        <v>3.0418799999999999</v>
      </c>
      <c r="P2034">
        <f t="shared" si="235"/>
        <v>50523.5</v>
      </c>
      <c r="Q2034" t="str">
        <f t="shared" si="238"/>
        <v>technology</v>
      </c>
      <c r="R2034" t="str">
        <f t="shared" si="239"/>
        <v>hardware</v>
      </c>
      <c r="S2034" s="9">
        <f t="shared" si="236"/>
        <v>42689.35733796296</v>
      </c>
      <c r="T2034" s="9">
        <f t="shared" si="237"/>
        <v>42718.999999999993</v>
      </c>
    </row>
    <row r="2035" spans="1:20" ht="43.5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34"/>
        <v>1.7867599999999999</v>
      </c>
      <c r="P2035">
        <f t="shared" si="235"/>
        <v>34834.5</v>
      </c>
      <c r="Q2035" t="str">
        <f t="shared" si="238"/>
        <v>technology</v>
      </c>
      <c r="R2035" t="str">
        <f t="shared" si="239"/>
        <v>hardware</v>
      </c>
      <c r="S2035" s="9">
        <f t="shared" si="236"/>
        <v>41724.874050925922</v>
      </c>
      <c r="T2035" s="9">
        <f t="shared" si="237"/>
        <v>41754.874050925922</v>
      </c>
    </row>
    <row r="2036" spans="1:20" ht="43.5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34"/>
        <v>3.868199871794872</v>
      </c>
      <c r="P2036">
        <f t="shared" si="235"/>
        <v>189859.79500000001</v>
      </c>
      <c r="Q2036" t="str">
        <f t="shared" si="238"/>
        <v>technology</v>
      </c>
      <c r="R2036" t="str">
        <f t="shared" si="239"/>
        <v>hardware</v>
      </c>
      <c r="S2036" s="9">
        <f t="shared" si="236"/>
        <v>42075.921678240738</v>
      </c>
      <c r="T2036" s="9">
        <f t="shared" si="237"/>
        <v>42131.081944444442</v>
      </c>
    </row>
    <row r="2037" spans="1:20" ht="43.5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34"/>
        <v>2.1103642500000004</v>
      </c>
      <c r="P2037">
        <f t="shared" si="235"/>
        <v>124414.57</v>
      </c>
      <c r="Q2037" t="str">
        <f t="shared" si="238"/>
        <v>technology</v>
      </c>
      <c r="R2037" t="str">
        <f t="shared" si="239"/>
        <v>hardware</v>
      </c>
      <c r="S2037" s="9">
        <f t="shared" si="236"/>
        <v>42311.41674768518</v>
      </c>
      <c r="T2037" s="9">
        <f t="shared" si="237"/>
        <v>42356.833333333336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34"/>
        <v>1.3166833333333334</v>
      </c>
      <c r="P2038">
        <f t="shared" si="235"/>
        <v>34750.25</v>
      </c>
      <c r="Q2038" t="str">
        <f t="shared" si="238"/>
        <v>technology</v>
      </c>
      <c r="R2038" t="str">
        <f t="shared" si="239"/>
        <v>hardware</v>
      </c>
      <c r="S2038" s="9">
        <f t="shared" si="236"/>
        <v>41738.656469907401</v>
      </c>
      <c r="T2038" s="9">
        <f t="shared" si="237"/>
        <v>41768.656469907401</v>
      </c>
    </row>
    <row r="2039" spans="1:20" ht="29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34"/>
        <v>3.0047639999999998</v>
      </c>
      <c r="P2039">
        <f t="shared" si="235"/>
        <v>20023.82</v>
      </c>
      <c r="Q2039" t="str">
        <f t="shared" si="238"/>
        <v>technology</v>
      </c>
      <c r="R2039" t="str">
        <f t="shared" si="239"/>
        <v>hardware</v>
      </c>
      <c r="S2039" s="9">
        <f t="shared" si="236"/>
        <v>41578.001770833333</v>
      </c>
      <c r="T2039" s="9">
        <f t="shared" si="237"/>
        <v>41638.043437499997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34"/>
        <v>4.2051249999999998</v>
      </c>
      <c r="P2040">
        <f t="shared" si="235"/>
        <v>20820.5</v>
      </c>
      <c r="Q2040" t="str">
        <f t="shared" si="238"/>
        <v>technology</v>
      </c>
      <c r="R2040" t="str">
        <f t="shared" si="239"/>
        <v>hardware</v>
      </c>
      <c r="S2040" s="9">
        <f t="shared" si="236"/>
        <v>41424.062743055554</v>
      </c>
      <c r="T2040" s="9">
        <f t="shared" si="237"/>
        <v>41456.541666666664</v>
      </c>
    </row>
    <row r="2041" spans="1:20" ht="29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34"/>
        <v>1.362168</v>
      </c>
      <c r="P2041">
        <f t="shared" si="235"/>
        <v>147635.5</v>
      </c>
      <c r="Q2041" t="str">
        <f t="shared" si="238"/>
        <v>technology</v>
      </c>
      <c r="R2041" t="str">
        <f t="shared" si="239"/>
        <v>hardware</v>
      </c>
      <c r="S2041" s="9">
        <f t="shared" si="236"/>
        <v>42675.23061342592</v>
      </c>
      <c r="T2041" s="9">
        <f t="shared" si="237"/>
        <v>42704.999305555553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34"/>
        <v>2.4817133333333334</v>
      </c>
      <c r="P2042">
        <f t="shared" si="235"/>
        <v>5222.57</v>
      </c>
      <c r="Q2042" t="str">
        <f t="shared" si="238"/>
        <v>technology</v>
      </c>
      <c r="R2042" t="str">
        <f t="shared" si="239"/>
        <v>hardware</v>
      </c>
      <c r="S2042" s="9">
        <f t="shared" si="236"/>
        <v>41578.718784722216</v>
      </c>
      <c r="T2042" s="9">
        <f t="shared" si="237"/>
        <v>41593.760451388887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34"/>
        <v>1.8186315789473684</v>
      </c>
      <c r="P2043">
        <f t="shared" si="235"/>
        <v>13388.5</v>
      </c>
      <c r="Q2043" t="str">
        <f t="shared" si="238"/>
        <v>technology</v>
      </c>
      <c r="R2043" t="str">
        <f t="shared" si="239"/>
        <v>hardware</v>
      </c>
      <c r="S2043" s="9">
        <f t="shared" si="236"/>
        <v>42654.317442129628</v>
      </c>
      <c r="T2043" s="9">
        <f t="shared" si="237"/>
        <v>42684.359108796292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34"/>
        <v>1.2353000000000001</v>
      </c>
      <c r="P2044">
        <f t="shared" si="235"/>
        <v>11176.5</v>
      </c>
      <c r="Q2044" t="str">
        <f t="shared" si="238"/>
        <v>technology</v>
      </c>
      <c r="R2044" t="str">
        <f t="shared" si="239"/>
        <v>hardware</v>
      </c>
      <c r="S2044" s="9">
        <f t="shared" si="236"/>
        <v>42331.499699074069</v>
      </c>
      <c r="T2044" s="9">
        <f t="shared" si="237"/>
        <v>42391.499699074069</v>
      </c>
    </row>
    <row r="2045" spans="1:20" ht="43.5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34"/>
        <v>5.0620938628158845</v>
      </c>
      <c r="P2045">
        <f t="shared" si="235"/>
        <v>4198</v>
      </c>
      <c r="Q2045" t="str">
        <f t="shared" si="238"/>
        <v>technology</v>
      </c>
      <c r="R2045" t="str">
        <f t="shared" si="239"/>
        <v>hardware</v>
      </c>
      <c r="S2045" s="9">
        <f t="shared" si="236"/>
        <v>42660.968483796292</v>
      </c>
      <c r="T2045" s="9">
        <f t="shared" si="237"/>
        <v>42714.999305555553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34"/>
        <v>1.0821333333333334</v>
      </c>
      <c r="P2046">
        <f t="shared" si="235"/>
        <v>15616</v>
      </c>
      <c r="Q2046" t="str">
        <f t="shared" si="238"/>
        <v>technology</v>
      </c>
      <c r="R2046" t="str">
        <f t="shared" si="239"/>
        <v>hardware</v>
      </c>
      <c r="S2046" s="9">
        <f t="shared" si="236"/>
        <v>42138.475856481477</v>
      </c>
      <c r="T2046" s="9">
        <f t="shared" si="237"/>
        <v>42168.475856481477</v>
      </c>
    </row>
    <row r="2047" spans="1:20" ht="43.5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34"/>
        <v>8.1918387755102042</v>
      </c>
      <c r="P2047">
        <f t="shared" si="235"/>
        <v>22520.005000000001</v>
      </c>
      <c r="Q2047" t="str">
        <f t="shared" si="238"/>
        <v>technology</v>
      </c>
      <c r="R2047" t="str">
        <f t="shared" si="239"/>
        <v>hardware</v>
      </c>
      <c r="S2047" s="9">
        <f t="shared" si="236"/>
        <v>41068.880173611113</v>
      </c>
      <c r="T2047" s="9">
        <f t="shared" si="237"/>
        <v>41098.880173611113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34"/>
        <v>1.2110000000000001</v>
      </c>
      <c r="P2048">
        <f t="shared" si="235"/>
        <v>11055</v>
      </c>
      <c r="Q2048" t="str">
        <f t="shared" si="238"/>
        <v>technology</v>
      </c>
      <c r="R2048" t="str">
        <f t="shared" si="239"/>
        <v>hardware</v>
      </c>
      <c r="S2048" s="9">
        <f t="shared" si="236"/>
        <v>41386.963472222218</v>
      </c>
      <c r="T2048" s="9">
        <f t="shared" si="237"/>
        <v>41416.963472222218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34"/>
        <v>1.0299897959183673</v>
      </c>
      <c r="P2049">
        <f t="shared" si="235"/>
        <v>99469.5</v>
      </c>
      <c r="Q2049" t="str">
        <f t="shared" si="238"/>
        <v>technology</v>
      </c>
      <c r="R2049" t="str">
        <f t="shared" si="239"/>
        <v>hardware</v>
      </c>
      <c r="S2049" s="9">
        <f t="shared" si="236"/>
        <v>42081.695254629631</v>
      </c>
      <c r="T2049" s="9">
        <f t="shared" si="237"/>
        <v>42110.791666666664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34"/>
        <v>1.4833229411764706</v>
      </c>
      <c r="P2050">
        <f t="shared" si="235"/>
        <v>105541.22500000001</v>
      </c>
      <c r="Q2050" t="str">
        <f t="shared" si="238"/>
        <v>technology</v>
      </c>
      <c r="R2050" t="str">
        <f t="shared" si="239"/>
        <v>hardware</v>
      </c>
      <c r="S2050" s="9">
        <f t="shared" si="236"/>
        <v>41387.443182870367</v>
      </c>
      <c r="T2050" s="9">
        <f t="shared" si="237"/>
        <v>41417.443182870367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40">E2051/D2051</f>
        <v>1.2019070000000001</v>
      </c>
      <c r="P2051">
        <f t="shared" ref="P2051:P2114" si="241">AVERAGE(D2051:E2051)</f>
        <v>55047.675000000003</v>
      </c>
      <c r="Q2051" t="str">
        <f t="shared" si="238"/>
        <v>technology</v>
      </c>
      <c r="R2051" t="str">
        <f t="shared" si="239"/>
        <v>hardware</v>
      </c>
      <c r="S2051" s="9">
        <f t="shared" ref="S2051:S2114" si="242">J2051/86400+25569+(-5/24)</f>
        <v>41575.319016203699</v>
      </c>
      <c r="T2051" s="9">
        <f t="shared" si="237"/>
        <v>41610.749305555553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40"/>
        <v>4.7327000000000004</v>
      </c>
      <c r="P2052">
        <f t="shared" si="241"/>
        <v>28663.5</v>
      </c>
      <c r="Q2052" t="str">
        <f t="shared" si="238"/>
        <v>technology</v>
      </c>
      <c r="R2052" t="str">
        <f t="shared" si="239"/>
        <v>hardware</v>
      </c>
      <c r="S2052" s="9">
        <f t="shared" si="242"/>
        <v>42114.863171296289</v>
      </c>
      <c r="T2052" s="9">
        <f t="shared" ref="T2052:T2115" si="243">I2052/86400+25569+(-5/24)</f>
        <v>42154.863171296289</v>
      </c>
    </row>
    <row r="2053" spans="1:20" ht="43.5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40"/>
        <v>1.303625</v>
      </c>
      <c r="P2053">
        <f t="shared" si="241"/>
        <v>9214.5</v>
      </c>
      <c r="Q2053" t="str">
        <f t="shared" si="238"/>
        <v>technology</v>
      </c>
      <c r="R2053" t="str">
        <f t="shared" si="239"/>
        <v>hardware</v>
      </c>
      <c r="S2053" s="9">
        <f t="shared" si="242"/>
        <v>41603.814085648148</v>
      </c>
      <c r="T2053" s="9">
        <f t="shared" si="243"/>
        <v>41633.814085648148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40"/>
        <v>3.5304799999999998</v>
      </c>
      <c r="P2054">
        <f t="shared" si="241"/>
        <v>113262</v>
      </c>
      <c r="Q2054" t="str">
        <f t="shared" si="238"/>
        <v>technology</v>
      </c>
      <c r="R2054" t="str">
        <f t="shared" si="239"/>
        <v>hardware</v>
      </c>
      <c r="S2054" s="9">
        <f t="shared" si="242"/>
        <v>42374.875613425924</v>
      </c>
      <c r="T2054" s="9">
        <f t="shared" si="243"/>
        <v>42419.875613425924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40"/>
        <v>1.0102</v>
      </c>
      <c r="P2055">
        <f t="shared" si="241"/>
        <v>5025.5</v>
      </c>
      <c r="Q2055" t="str">
        <f t="shared" si="238"/>
        <v>technology</v>
      </c>
      <c r="R2055" t="str">
        <f t="shared" si="239"/>
        <v>hardware</v>
      </c>
      <c r="S2055" s="9">
        <f t="shared" si="242"/>
        <v>42303.409155092588</v>
      </c>
      <c r="T2055" s="9">
        <f t="shared" si="243"/>
        <v>42333.450821759259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40"/>
        <v>1.1359142857142857</v>
      </c>
      <c r="P2056">
        <f t="shared" si="241"/>
        <v>37378.5</v>
      </c>
      <c r="Q2056" t="str">
        <f t="shared" si="238"/>
        <v>technology</v>
      </c>
      <c r="R2056" t="str">
        <f t="shared" si="239"/>
        <v>hardware</v>
      </c>
      <c r="S2056" s="9">
        <f t="shared" si="242"/>
        <v>41731.312615740739</v>
      </c>
      <c r="T2056" s="9">
        <f t="shared" si="243"/>
        <v>41761.312615740739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40"/>
        <v>1.6741666666666666</v>
      </c>
      <c r="P2057">
        <f t="shared" si="241"/>
        <v>8022.5</v>
      </c>
      <c r="Q2057" t="str">
        <f t="shared" si="238"/>
        <v>technology</v>
      </c>
      <c r="R2057" t="str">
        <f t="shared" si="239"/>
        <v>hardware</v>
      </c>
      <c r="S2057" s="9">
        <f t="shared" si="242"/>
        <v>41946.465775462959</v>
      </c>
      <c r="T2057" s="9">
        <f t="shared" si="243"/>
        <v>41975.958333333336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40"/>
        <v>1.5345200000000001</v>
      </c>
      <c r="P2058">
        <f t="shared" si="241"/>
        <v>63363</v>
      </c>
      <c r="Q2058" t="str">
        <f t="shared" si="238"/>
        <v>technology</v>
      </c>
      <c r="R2058" t="str">
        <f t="shared" si="239"/>
        <v>hardware</v>
      </c>
      <c r="S2058" s="9">
        <f t="shared" si="242"/>
        <v>41351.552569444444</v>
      </c>
      <c r="T2058" s="9">
        <f t="shared" si="243"/>
        <v>41381.552569444444</v>
      </c>
    </row>
    <row r="2059" spans="1:20" ht="43.5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40"/>
        <v>2.022322</v>
      </c>
      <c r="P2059">
        <f t="shared" si="241"/>
        <v>22667.415000000001</v>
      </c>
      <c r="Q2059" t="str">
        <f t="shared" si="238"/>
        <v>technology</v>
      </c>
      <c r="R2059" t="str">
        <f t="shared" si="239"/>
        <v>hardware</v>
      </c>
      <c r="S2059" s="9">
        <f t="shared" si="242"/>
        <v>42396.286249999997</v>
      </c>
      <c r="T2059" s="9">
        <f t="shared" si="243"/>
        <v>42426.286249999997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40"/>
        <v>1.6828125</v>
      </c>
      <c r="P2060">
        <f t="shared" si="241"/>
        <v>3434</v>
      </c>
      <c r="Q2060" t="str">
        <f t="shared" si="238"/>
        <v>technology</v>
      </c>
      <c r="R2060" t="str">
        <f t="shared" si="239"/>
        <v>hardware</v>
      </c>
      <c r="S2060" s="9">
        <f t="shared" si="242"/>
        <v>42026.16238425926</v>
      </c>
      <c r="T2060" s="9">
        <f t="shared" si="243"/>
        <v>42065.624999999993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40"/>
        <v>1.4345666666666668</v>
      </c>
      <c r="P2061">
        <f t="shared" si="241"/>
        <v>36518.5</v>
      </c>
      <c r="Q2061" t="str">
        <f t="shared" si="238"/>
        <v>technology</v>
      </c>
      <c r="R2061" t="str">
        <f t="shared" si="239"/>
        <v>hardware</v>
      </c>
      <c r="S2061" s="9">
        <f t="shared" si="242"/>
        <v>42361.394143518519</v>
      </c>
      <c r="T2061" s="9">
        <f t="shared" si="243"/>
        <v>42400.707638888889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40"/>
        <v>1.964</v>
      </c>
      <c r="P2062">
        <f t="shared" si="241"/>
        <v>37050</v>
      </c>
      <c r="Q2062" t="str">
        <f t="shared" si="238"/>
        <v>technology</v>
      </c>
      <c r="R2062" t="str">
        <f t="shared" si="239"/>
        <v>hardware</v>
      </c>
      <c r="S2062" s="9">
        <f t="shared" si="242"/>
        <v>41783.434606481482</v>
      </c>
      <c r="T2062" s="9">
        <f t="shared" si="243"/>
        <v>41843.434606481482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40"/>
        <v>1.0791999999999999</v>
      </c>
      <c r="P2063">
        <f t="shared" si="241"/>
        <v>5198</v>
      </c>
      <c r="Q2063" t="str">
        <f t="shared" si="238"/>
        <v>technology</v>
      </c>
      <c r="R2063" t="str">
        <f t="shared" si="239"/>
        <v>hardware</v>
      </c>
      <c r="S2063" s="9">
        <f t="shared" si="242"/>
        <v>42705.556180555555</v>
      </c>
      <c r="T2063" s="9">
        <f t="shared" si="243"/>
        <v>42735.556180555555</v>
      </c>
    </row>
    <row r="2064" spans="1:20" ht="43.5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40"/>
        <v>1.14977</v>
      </c>
      <c r="P2064">
        <f t="shared" si="241"/>
        <v>107488.5</v>
      </c>
      <c r="Q2064" t="str">
        <f t="shared" si="238"/>
        <v>technology</v>
      </c>
      <c r="R2064" t="str">
        <f t="shared" si="239"/>
        <v>hardware</v>
      </c>
      <c r="S2064" s="9">
        <f t="shared" si="242"/>
        <v>42423.174745370365</v>
      </c>
      <c r="T2064" s="9">
        <f t="shared" si="243"/>
        <v>42453.1330787037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40"/>
        <v>1.4804999999999999</v>
      </c>
      <c r="P2065">
        <f t="shared" si="241"/>
        <v>4961</v>
      </c>
      <c r="Q2065" t="str">
        <f t="shared" si="238"/>
        <v>technology</v>
      </c>
      <c r="R2065" t="str">
        <f t="shared" si="239"/>
        <v>hardware</v>
      </c>
      <c r="S2065" s="9">
        <f t="shared" si="242"/>
        <v>42472.524317129624</v>
      </c>
      <c r="T2065" s="9">
        <f t="shared" si="243"/>
        <v>42505.524317129624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40"/>
        <v>1.9116676082790633</v>
      </c>
      <c r="P2066">
        <f t="shared" si="241"/>
        <v>381373.13500000001</v>
      </c>
      <c r="Q2066" t="str">
        <f t="shared" si="238"/>
        <v>technology</v>
      </c>
      <c r="R2066" t="str">
        <f t="shared" si="239"/>
        <v>hardware</v>
      </c>
      <c r="S2066" s="9">
        <f t="shared" si="242"/>
        <v>41389.1565162037</v>
      </c>
      <c r="T2066" s="9">
        <f t="shared" si="243"/>
        <v>41425.291666666664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40"/>
        <v>1.99215125</v>
      </c>
      <c r="P2067">
        <f t="shared" si="241"/>
        <v>59843.025000000001</v>
      </c>
      <c r="Q2067" t="str">
        <f t="shared" si="238"/>
        <v>technology</v>
      </c>
      <c r="R2067" t="str">
        <f t="shared" si="239"/>
        <v>hardware</v>
      </c>
      <c r="S2067" s="9">
        <f t="shared" si="242"/>
        <v>41603.125335648147</v>
      </c>
      <c r="T2067" s="9">
        <f t="shared" si="243"/>
        <v>41633.125335648147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40"/>
        <v>2.1859999999999999</v>
      </c>
      <c r="P2068">
        <f t="shared" si="241"/>
        <v>3186</v>
      </c>
      <c r="Q2068" t="str">
        <f t="shared" ref="Q2068:Q2082" si="244">IF(N2068="technology/hardware","technology")</f>
        <v>technology</v>
      </c>
      <c r="R2068" t="str">
        <f t="shared" ref="R2068:R2082" si="245">IF(N2068="technology/hardware","hardware")</f>
        <v>hardware</v>
      </c>
      <c r="S2068" s="9">
        <f t="shared" si="242"/>
        <v>41844.563460648147</v>
      </c>
      <c r="T2068" s="9">
        <f t="shared" si="243"/>
        <v>41874.563460648147</v>
      </c>
    </row>
    <row r="2069" spans="1:20" ht="29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40"/>
        <v>1.2686868686868686</v>
      </c>
      <c r="P2069">
        <f t="shared" si="241"/>
        <v>561.5</v>
      </c>
      <c r="Q2069" t="str">
        <f t="shared" si="244"/>
        <v>technology</v>
      </c>
      <c r="R2069" t="str">
        <f t="shared" si="245"/>
        <v>hardware</v>
      </c>
      <c r="S2069" s="9">
        <f t="shared" si="242"/>
        <v>42115.645555555551</v>
      </c>
      <c r="T2069" s="9">
        <f t="shared" si="243"/>
        <v>42148.645555555551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40"/>
        <v>1.0522388</v>
      </c>
      <c r="P2070">
        <f t="shared" si="241"/>
        <v>25652.985000000001</v>
      </c>
      <c r="Q2070" t="str">
        <f t="shared" si="244"/>
        <v>technology</v>
      </c>
      <c r="R2070" t="str">
        <f t="shared" si="245"/>
        <v>hardware</v>
      </c>
      <c r="S2070" s="9">
        <f t="shared" si="242"/>
        <v>42633.633275462962</v>
      </c>
      <c r="T2070" s="9">
        <f t="shared" si="243"/>
        <v>42663.633275462962</v>
      </c>
    </row>
    <row r="2071" spans="1:20" ht="43.5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40"/>
        <v>1.2840666000000001</v>
      </c>
      <c r="P2071">
        <f t="shared" si="241"/>
        <v>57101.665000000001</v>
      </c>
      <c r="Q2071" t="str">
        <f t="shared" si="244"/>
        <v>technology</v>
      </c>
      <c r="R2071" t="str">
        <f t="shared" si="245"/>
        <v>hardware</v>
      </c>
      <c r="S2071" s="9">
        <f t="shared" si="242"/>
        <v>42340.763784722221</v>
      </c>
      <c r="T2071" s="9">
        <f t="shared" si="243"/>
        <v>42371.763784722221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40"/>
        <v>3.1732719999999999</v>
      </c>
      <c r="P2072">
        <f t="shared" si="241"/>
        <v>260829.5</v>
      </c>
      <c r="Q2072" t="str">
        <f t="shared" si="244"/>
        <v>technology</v>
      </c>
      <c r="R2072" t="str">
        <f t="shared" si="245"/>
        <v>hardware</v>
      </c>
      <c r="S2072" s="9">
        <f t="shared" si="242"/>
        <v>42519.448182870365</v>
      </c>
      <c r="T2072" s="9">
        <f t="shared" si="243"/>
        <v>42549.448182870365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40"/>
        <v>2.8073000000000001</v>
      </c>
      <c r="P2073">
        <f t="shared" si="241"/>
        <v>38073</v>
      </c>
      <c r="Q2073" t="str">
        <f t="shared" si="244"/>
        <v>technology</v>
      </c>
      <c r="R2073" t="str">
        <f t="shared" si="245"/>
        <v>hardware</v>
      </c>
      <c r="S2073" s="9">
        <f t="shared" si="242"/>
        <v>42600.070416666662</v>
      </c>
      <c r="T2073" s="9">
        <f t="shared" si="243"/>
        <v>42645.070416666662</v>
      </c>
    </row>
    <row r="2074" spans="1:20" ht="43.5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40"/>
        <v>1.1073146853146854</v>
      </c>
      <c r="P2074">
        <f t="shared" si="241"/>
        <v>75336.5</v>
      </c>
      <c r="Q2074" t="str">
        <f t="shared" si="244"/>
        <v>technology</v>
      </c>
      <c r="R2074" t="str">
        <f t="shared" si="245"/>
        <v>hardware</v>
      </c>
      <c r="S2074" s="9">
        <f t="shared" si="242"/>
        <v>42467.373055555552</v>
      </c>
      <c r="T2074" s="9">
        <f t="shared" si="243"/>
        <v>42497.373055555552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40"/>
        <v>1.5260429999999998</v>
      </c>
      <c r="P2075">
        <f t="shared" si="241"/>
        <v>126302.15</v>
      </c>
      <c r="Q2075" t="str">
        <f t="shared" si="244"/>
        <v>technology</v>
      </c>
      <c r="R2075" t="str">
        <f t="shared" si="245"/>
        <v>hardware</v>
      </c>
      <c r="S2075" s="9">
        <f t="shared" si="242"/>
        <v>42087.459699074076</v>
      </c>
      <c r="T2075" s="9">
        <f t="shared" si="243"/>
        <v>42132.459699074076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40"/>
        <v>1.0249999999999999</v>
      </c>
      <c r="P2076">
        <f t="shared" si="241"/>
        <v>607.5</v>
      </c>
      <c r="Q2076" t="str">
        <f t="shared" si="244"/>
        <v>technology</v>
      </c>
      <c r="R2076" t="str">
        <f t="shared" si="245"/>
        <v>hardware</v>
      </c>
      <c r="S2076" s="9">
        <f t="shared" si="242"/>
        <v>42466.617847222216</v>
      </c>
      <c r="T2076" s="9">
        <f t="shared" si="243"/>
        <v>42496.617847222216</v>
      </c>
    </row>
    <row r="2077" spans="1:20" ht="29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40"/>
        <v>16.783738373837384</v>
      </c>
      <c r="P2077">
        <f t="shared" si="241"/>
        <v>88909.8</v>
      </c>
      <c r="Q2077" t="str">
        <f t="shared" si="244"/>
        <v>technology</v>
      </c>
      <c r="R2077" t="str">
        <f t="shared" si="245"/>
        <v>hardware</v>
      </c>
      <c r="S2077" s="9">
        <f t="shared" si="242"/>
        <v>41450.473240740735</v>
      </c>
      <c r="T2077" s="9">
        <f t="shared" si="243"/>
        <v>41480.473240740735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40"/>
        <v>5.4334915642458101</v>
      </c>
      <c r="P2078">
        <f t="shared" si="241"/>
        <v>575797.495</v>
      </c>
      <c r="Q2078" t="str">
        <f t="shared" si="244"/>
        <v>technology</v>
      </c>
      <c r="R2078" t="str">
        <f t="shared" si="245"/>
        <v>hardware</v>
      </c>
      <c r="S2078" s="9">
        <f t="shared" si="242"/>
        <v>41803.672326388885</v>
      </c>
      <c r="T2078" s="9">
        <f t="shared" si="243"/>
        <v>41843.672326388885</v>
      </c>
    </row>
    <row r="2079" spans="1:20" ht="29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40"/>
        <v>1.1550800000000001</v>
      </c>
      <c r="P2079">
        <f t="shared" si="241"/>
        <v>53877</v>
      </c>
      <c r="Q2079" t="str">
        <f t="shared" si="244"/>
        <v>technology</v>
      </c>
      <c r="R2079" t="str">
        <f t="shared" si="245"/>
        <v>hardware</v>
      </c>
      <c r="S2079" s="9">
        <f t="shared" si="242"/>
        <v>42102.83421296296</v>
      </c>
      <c r="T2079" s="9">
        <f t="shared" si="243"/>
        <v>42160.666666666664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40"/>
        <v>1.3120499999999999</v>
      </c>
      <c r="P2080">
        <f t="shared" si="241"/>
        <v>23120.5</v>
      </c>
      <c r="Q2080" t="str">
        <f t="shared" si="244"/>
        <v>technology</v>
      </c>
      <c r="R2080" t="str">
        <f t="shared" si="245"/>
        <v>hardware</v>
      </c>
      <c r="S2080" s="9">
        <f t="shared" si="242"/>
        <v>42692.563159722216</v>
      </c>
      <c r="T2080" s="9">
        <f t="shared" si="243"/>
        <v>42722.563159722216</v>
      </c>
    </row>
    <row r="2081" spans="1:20" ht="43.5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40"/>
        <v>2.8816999999999999</v>
      </c>
      <c r="P2081">
        <f t="shared" si="241"/>
        <v>19408.5</v>
      </c>
      <c r="Q2081" t="str">
        <f t="shared" si="244"/>
        <v>technology</v>
      </c>
      <c r="R2081" t="str">
        <f t="shared" si="245"/>
        <v>hardware</v>
      </c>
      <c r="S2081" s="9">
        <f t="shared" si="242"/>
        <v>42150.502233796295</v>
      </c>
      <c r="T2081" s="9">
        <f t="shared" si="243"/>
        <v>42180.583333333336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40"/>
        <v>5.0780000000000003</v>
      </c>
      <c r="P2082">
        <f t="shared" si="241"/>
        <v>3039</v>
      </c>
      <c r="Q2082" t="str">
        <f t="shared" si="244"/>
        <v>technology</v>
      </c>
      <c r="R2082" t="str">
        <f t="shared" si="245"/>
        <v>hardware</v>
      </c>
      <c r="S2082" s="9">
        <f t="shared" si="242"/>
        <v>42289.748842592591</v>
      </c>
      <c r="T2082" s="9">
        <f t="shared" si="243"/>
        <v>42319.790509259255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40"/>
        <v>1.1457142857142857</v>
      </c>
      <c r="P2083">
        <f t="shared" si="241"/>
        <v>3755</v>
      </c>
      <c r="Q2083" t="str">
        <f>IF(N2083="music/indie rock","music")</f>
        <v>music</v>
      </c>
      <c r="R2083" t="str">
        <f>IF(N2083="music/indie rock","indie rock")</f>
        <v>indie rock</v>
      </c>
      <c r="S2083" s="9">
        <f t="shared" si="242"/>
        <v>41003.948553240734</v>
      </c>
      <c r="T2083" s="9">
        <f t="shared" si="243"/>
        <v>41044.999305555553</v>
      </c>
    </row>
    <row r="2084" spans="1:20" ht="43.5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40"/>
        <v>1.1073333333333333</v>
      </c>
      <c r="P2084">
        <f t="shared" si="241"/>
        <v>1580.5</v>
      </c>
      <c r="Q2084" t="str">
        <f t="shared" ref="Q2084:Q2122" si="246">IF(N2084="music/indie rock","music")</f>
        <v>music</v>
      </c>
      <c r="R2084" t="str">
        <f t="shared" ref="R2084:R2122" si="247">IF(N2084="music/indie rock","indie rock")</f>
        <v>indie rock</v>
      </c>
      <c r="S2084" s="9">
        <f t="shared" si="242"/>
        <v>40810.911990740737</v>
      </c>
      <c r="T2084" s="9">
        <f t="shared" si="243"/>
        <v>40870.953657407408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40"/>
        <v>1.1333333333333333</v>
      </c>
      <c r="P2085">
        <f t="shared" si="241"/>
        <v>800</v>
      </c>
      <c r="Q2085" t="str">
        <f t="shared" si="246"/>
        <v>music</v>
      </c>
      <c r="R2085" t="str">
        <f t="shared" si="247"/>
        <v>indie rock</v>
      </c>
      <c r="S2085" s="9">
        <f t="shared" si="242"/>
        <v>41034.513831018514</v>
      </c>
      <c r="T2085" s="9">
        <f t="shared" si="243"/>
        <v>41064.513831018514</v>
      </c>
    </row>
    <row r="2086" spans="1:20" ht="29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40"/>
        <v>1.0833333333333333</v>
      </c>
      <c r="P2086">
        <f t="shared" si="241"/>
        <v>3125</v>
      </c>
      <c r="Q2086" t="str">
        <f t="shared" si="246"/>
        <v>music</v>
      </c>
      <c r="R2086" t="str">
        <f t="shared" si="247"/>
        <v>indie rock</v>
      </c>
      <c r="S2086" s="9">
        <f t="shared" si="242"/>
        <v>41731.624791666662</v>
      </c>
      <c r="T2086" s="9">
        <f t="shared" si="243"/>
        <v>41763.082638888889</v>
      </c>
    </row>
    <row r="2087" spans="1:20" ht="43.5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40"/>
        <v>1.2353333333333334</v>
      </c>
      <c r="P2087">
        <f t="shared" si="241"/>
        <v>6706</v>
      </c>
      <c r="Q2087" t="str">
        <f t="shared" si="246"/>
        <v>music</v>
      </c>
      <c r="R2087" t="str">
        <f t="shared" si="247"/>
        <v>indie rock</v>
      </c>
      <c r="S2087" s="9">
        <f t="shared" si="242"/>
        <v>41075.627164351848</v>
      </c>
      <c r="T2087" s="9">
        <f t="shared" si="243"/>
        <v>41105.627164351848</v>
      </c>
    </row>
    <row r="2088" spans="1:20" ht="29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40"/>
        <v>1.0069999999999999</v>
      </c>
      <c r="P2088">
        <f t="shared" si="241"/>
        <v>4014</v>
      </c>
      <c r="Q2088" t="str">
        <f t="shared" si="246"/>
        <v>music</v>
      </c>
      <c r="R2088" t="str">
        <f t="shared" si="247"/>
        <v>indie rock</v>
      </c>
      <c r="S2088" s="9">
        <f t="shared" si="242"/>
        <v>40860.462175925924</v>
      </c>
      <c r="T2088" s="9">
        <f t="shared" si="243"/>
        <v>40890.999305555553</v>
      </c>
    </row>
    <row r="2089" spans="1:20" ht="43.5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40"/>
        <v>1.0353333333333334</v>
      </c>
      <c r="P2089">
        <f t="shared" si="241"/>
        <v>1526.5</v>
      </c>
      <c r="Q2089" t="str">
        <f t="shared" si="246"/>
        <v>music</v>
      </c>
      <c r="R2089" t="str">
        <f t="shared" si="247"/>
        <v>indie rock</v>
      </c>
      <c r="S2089" s="9">
        <f t="shared" si="242"/>
        <v>40763.996041666665</v>
      </c>
      <c r="T2089" s="9">
        <f t="shared" si="243"/>
        <v>40793.996041666665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40"/>
        <v>1.1551066666666667</v>
      </c>
      <c r="P2090">
        <f t="shared" si="241"/>
        <v>3232.66</v>
      </c>
      <c r="Q2090" t="str">
        <f t="shared" si="246"/>
        <v>music</v>
      </c>
      <c r="R2090" t="str">
        <f t="shared" si="247"/>
        <v>indie rock</v>
      </c>
      <c r="S2090" s="9">
        <f t="shared" si="242"/>
        <v>40395.506388888891</v>
      </c>
      <c r="T2090" s="9">
        <f t="shared" si="243"/>
        <v>40431.957638888889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40"/>
        <v>1.2040040000000001</v>
      </c>
      <c r="P2091">
        <f t="shared" si="241"/>
        <v>2755.0050000000001</v>
      </c>
      <c r="Q2091" t="str">
        <f t="shared" si="246"/>
        <v>music</v>
      </c>
      <c r="R2091" t="str">
        <f t="shared" si="247"/>
        <v>indie rock</v>
      </c>
      <c r="S2091" s="9">
        <f t="shared" si="242"/>
        <v>41452.867986111109</v>
      </c>
      <c r="T2091" s="9">
        <f t="shared" si="243"/>
        <v>41487.867986111109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40"/>
        <v>1.1504037499999999</v>
      </c>
      <c r="P2092">
        <f t="shared" si="241"/>
        <v>8601.6149999999998</v>
      </c>
      <c r="Q2092" t="str">
        <f t="shared" si="246"/>
        <v>music</v>
      </c>
      <c r="R2092" t="str">
        <f t="shared" si="247"/>
        <v>indie rock</v>
      </c>
      <c r="S2092" s="9">
        <f t="shared" si="242"/>
        <v>41299.173090277771</v>
      </c>
      <c r="T2092" s="9">
        <f t="shared" si="243"/>
        <v>41329.173090277771</v>
      </c>
    </row>
    <row r="2093" spans="1:20" ht="43.5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40"/>
        <v>1.2046777777777777</v>
      </c>
      <c r="P2093">
        <f t="shared" si="241"/>
        <v>19842.099999999999</v>
      </c>
      <c r="Q2093" t="str">
        <f t="shared" si="246"/>
        <v>music</v>
      </c>
      <c r="R2093" t="str">
        <f t="shared" si="247"/>
        <v>indie rock</v>
      </c>
      <c r="S2093" s="9">
        <f t="shared" si="242"/>
        <v>40555.114328703705</v>
      </c>
      <c r="T2093" s="9">
        <f t="shared" si="243"/>
        <v>40603.625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40"/>
        <v>1.0128333333333333</v>
      </c>
      <c r="P2094">
        <f t="shared" si="241"/>
        <v>6038.5</v>
      </c>
      <c r="Q2094" t="str">
        <f t="shared" si="246"/>
        <v>music</v>
      </c>
      <c r="R2094" t="str">
        <f t="shared" si="247"/>
        <v>indie rock</v>
      </c>
      <c r="S2094" s="9">
        <f t="shared" si="242"/>
        <v>40763.499212962961</v>
      </c>
      <c r="T2094" s="9">
        <f t="shared" si="243"/>
        <v>40823.499212962961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40"/>
        <v>1.0246666666666666</v>
      </c>
      <c r="P2095">
        <f t="shared" si="241"/>
        <v>1518.5</v>
      </c>
      <c r="Q2095" t="str">
        <f t="shared" si="246"/>
        <v>music</v>
      </c>
      <c r="R2095" t="str">
        <f t="shared" si="247"/>
        <v>indie rock</v>
      </c>
      <c r="S2095" s="9">
        <f t="shared" si="242"/>
        <v>41205.646203703705</v>
      </c>
      <c r="T2095" s="9">
        <f t="shared" si="243"/>
        <v>41265.68787037037</v>
      </c>
    </row>
    <row r="2096" spans="1:20" ht="43.5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40"/>
        <v>1.2054285714285715</v>
      </c>
      <c r="P2096">
        <f t="shared" si="241"/>
        <v>3859.5</v>
      </c>
      <c r="Q2096" t="str">
        <f t="shared" si="246"/>
        <v>music</v>
      </c>
      <c r="R2096" t="str">
        <f t="shared" si="247"/>
        <v>indie rock</v>
      </c>
      <c r="S2096" s="9">
        <f t="shared" si="242"/>
        <v>40938.811689814815</v>
      </c>
      <c r="T2096" s="9">
        <f t="shared" si="243"/>
        <v>40972.916666666664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40"/>
        <v>1</v>
      </c>
      <c r="P2097">
        <f t="shared" si="241"/>
        <v>2500</v>
      </c>
      <c r="Q2097" t="str">
        <f t="shared" si="246"/>
        <v>music</v>
      </c>
      <c r="R2097" t="str">
        <f t="shared" si="247"/>
        <v>indie rock</v>
      </c>
      <c r="S2097" s="9">
        <f t="shared" si="242"/>
        <v>40758.525150462963</v>
      </c>
      <c r="T2097" s="9">
        <f t="shared" si="243"/>
        <v>40818.525150462963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40"/>
        <v>1.0166666666666666</v>
      </c>
      <c r="P2098">
        <f t="shared" si="241"/>
        <v>605</v>
      </c>
      <c r="Q2098" t="str">
        <f t="shared" si="246"/>
        <v>music</v>
      </c>
      <c r="R2098" t="str">
        <f t="shared" si="247"/>
        <v>indie rock</v>
      </c>
      <c r="S2098" s="9">
        <f t="shared" si="242"/>
        <v>41192.550173611111</v>
      </c>
      <c r="T2098" s="9">
        <f t="shared" si="243"/>
        <v>41207.957638888889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40"/>
        <v>1</v>
      </c>
      <c r="P2099">
        <f t="shared" si="241"/>
        <v>3000</v>
      </c>
      <c r="Q2099" t="str">
        <f t="shared" si="246"/>
        <v>music</v>
      </c>
      <c r="R2099" t="str">
        <f t="shared" si="247"/>
        <v>indie rock</v>
      </c>
      <c r="S2099" s="9">
        <f t="shared" si="242"/>
        <v>40818.376562500001</v>
      </c>
      <c r="T2099" s="9">
        <f t="shared" si="243"/>
        <v>40878.418229166666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40"/>
        <v>1.0033333333333334</v>
      </c>
      <c r="P2100">
        <f t="shared" si="241"/>
        <v>6010</v>
      </c>
      <c r="Q2100" t="str">
        <f t="shared" si="246"/>
        <v>music</v>
      </c>
      <c r="R2100" t="str">
        <f t="shared" si="247"/>
        <v>indie rock</v>
      </c>
      <c r="S2100" s="9">
        <f t="shared" si="242"/>
        <v>40945.905497685184</v>
      </c>
      <c r="T2100" s="9">
        <f t="shared" si="243"/>
        <v>40975.905497685184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40"/>
        <v>1.3236666666666668</v>
      </c>
      <c r="P2101">
        <f t="shared" si="241"/>
        <v>3485.5</v>
      </c>
      <c r="Q2101" t="str">
        <f t="shared" si="246"/>
        <v>music</v>
      </c>
      <c r="R2101" t="str">
        <f t="shared" si="247"/>
        <v>indie rock</v>
      </c>
      <c r="S2101" s="9">
        <f t="shared" si="242"/>
        <v>42173.53800925926</v>
      </c>
      <c r="T2101" s="9">
        <f t="shared" si="243"/>
        <v>42186.944444444445</v>
      </c>
    </row>
    <row r="2102" spans="1:20" ht="43.5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40"/>
        <v>1.3666666666666667</v>
      </c>
      <c r="P2102">
        <f t="shared" si="241"/>
        <v>710</v>
      </c>
      <c r="Q2102" t="str">
        <f t="shared" si="246"/>
        <v>music</v>
      </c>
      <c r="R2102" t="str">
        <f t="shared" si="247"/>
        <v>indie rock</v>
      </c>
      <c r="S2102" s="9">
        <f t="shared" si="242"/>
        <v>41074.62663194444</v>
      </c>
      <c r="T2102" s="9">
        <f t="shared" si="243"/>
        <v>41089.957638888889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40"/>
        <v>1.1325000000000001</v>
      </c>
      <c r="P2103">
        <f t="shared" si="241"/>
        <v>2132.5</v>
      </c>
      <c r="Q2103" t="str">
        <f t="shared" si="246"/>
        <v>music</v>
      </c>
      <c r="R2103" t="str">
        <f t="shared" si="247"/>
        <v>indie rock</v>
      </c>
      <c r="S2103" s="9">
        <f t="shared" si="242"/>
        <v>40891.941134259258</v>
      </c>
      <c r="T2103" s="9">
        <f t="shared" si="243"/>
        <v>40951.941134259258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40"/>
        <v>1.36</v>
      </c>
      <c r="P2104">
        <f t="shared" si="241"/>
        <v>1180</v>
      </c>
      <c r="Q2104" t="str">
        <f t="shared" si="246"/>
        <v>music</v>
      </c>
      <c r="R2104" t="str">
        <f t="shared" si="247"/>
        <v>indie rock</v>
      </c>
      <c r="S2104" s="9">
        <f t="shared" si="242"/>
        <v>40638.660277777773</v>
      </c>
      <c r="T2104" s="9">
        <f t="shared" si="243"/>
        <v>40668.660277777773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40"/>
        <v>1.4612318374694613</v>
      </c>
      <c r="P2105">
        <f t="shared" si="241"/>
        <v>9570.5</v>
      </c>
      <c r="Q2105" t="str">
        <f t="shared" si="246"/>
        <v>music</v>
      </c>
      <c r="R2105" t="str">
        <f t="shared" si="247"/>
        <v>indie rock</v>
      </c>
      <c r="S2105" s="9">
        <f t="shared" si="242"/>
        <v>41192.546608796292</v>
      </c>
      <c r="T2105" s="9">
        <f t="shared" si="243"/>
        <v>41222.588275462964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40"/>
        <v>1.2949999999999999</v>
      </c>
      <c r="P2106">
        <f t="shared" si="241"/>
        <v>918</v>
      </c>
      <c r="Q2106" t="str">
        <f t="shared" si="246"/>
        <v>music</v>
      </c>
      <c r="R2106" t="str">
        <f t="shared" si="247"/>
        <v>indie rock</v>
      </c>
      <c r="S2106" s="9">
        <f t="shared" si="242"/>
        <v>41393.86613425926</v>
      </c>
      <c r="T2106" s="9">
        <f t="shared" si="243"/>
        <v>41424.791666666664</v>
      </c>
    </row>
    <row r="2107" spans="1:20" ht="29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40"/>
        <v>2.54</v>
      </c>
      <c r="P2107">
        <f t="shared" si="241"/>
        <v>3540</v>
      </c>
      <c r="Q2107" t="str">
        <f t="shared" si="246"/>
        <v>music</v>
      </c>
      <c r="R2107" t="str">
        <f t="shared" si="247"/>
        <v>indie rock</v>
      </c>
      <c r="S2107" s="9">
        <f t="shared" si="242"/>
        <v>41951.580474537033</v>
      </c>
      <c r="T2107" s="9">
        <f t="shared" si="243"/>
        <v>41963.958333333336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40"/>
        <v>1.0704545454545455</v>
      </c>
      <c r="P2108">
        <f t="shared" si="241"/>
        <v>2277.5</v>
      </c>
      <c r="Q2108" t="str">
        <f t="shared" si="246"/>
        <v>music</v>
      </c>
      <c r="R2108" t="str">
        <f t="shared" si="247"/>
        <v>indie rock</v>
      </c>
      <c r="S2108" s="9">
        <f t="shared" si="242"/>
        <v>41270.006643518514</v>
      </c>
      <c r="T2108" s="9">
        <f t="shared" si="243"/>
        <v>41300.006643518514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40"/>
        <v>1.0773299999999999</v>
      </c>
      <c r="P2109">
        <f t="shared" si="241"/>
        <v>2077.33</v>
      </c>
      <c r="Q2109" t="str">
        <f t="shared" si="246"/>
        <v>music</v>
      </c>
      <c r="R2109" t="str">
        <f t="shared" si="247"/>
        <v>indie rock</v>
      </c>
      <c r="S2109" s="9">
        <f t="shared" si="242"/>
        <v>41934.502233796295</v>
      </c>
      <c r="T2109" s="9">
        <f t="shared" si="243"/>
        <v>41955.543900462959</v>
      </c>
    </row>
    <row r="2110" spans="1:20" ht="43.5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40"/>
        <v>1.0731250000000001</v>
      </c>
      <c r="P2110">
        <f t="shared" si="241"/>
        <v>16585</v>
      </c>
      <c r="Q2110" t="str">
        <f t="shared" si="246"/>
        <v>music</v>
      </c>
      <c r="R2110" t="str">
        <f t="shared" si="247"/>
        <v>indie rock</v>
      </c>
      <c r="S2110" s="9">
        <f t="shared" si="242"/>
        <v>41134.967361111107</v>
      </c>
      <c r="T2110" s="9">
        <f t="shared" si="243"/>
        <v>41161.954861111109</v>
      </c>
    </row>
    <row r="2111" spans="1:20" ht="29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40"/>
        <v>1.06525</v>
      </c>
      <c r="P2111">
        <f t="shared" si="241"/>
        <v>4130.5</v>
      </c>
      <c r="Q2111" t="str">
        <f t="shared" si="246"/>
        <v>music</v>
      </c>
      <c r="R2111" t="str">
        <f t="shared" si="247"/>
        <v>indie rock</v>
      </c>
      <c r="S2111" s="9">
        <f t="shared" si="242"/>
        <v>42160.500196759262</v>
      </c>
      <c r="T2111" s="9">
        <f t="shared" si="243"/>
        <v>42190.500196759262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40"/>
        <v>1.0035000000000001</v>
      </c>
      <c r="P2112">
        <f t="shared" si="241"/>
        <v>2003.5</v>
      </c>
      <c r="Q2112" t="str">
        <f t="shared" si="246"/>
        <v>music</v>
      </c>
      <c r="R2112" t="str">
        <f t="shared" si="247"/>
        <v>indie rock</v>
      </c>
      <c r="S2112" s="9">
        <f t="shared" si="242"/>
        <v>41759.462604166663</v>
      </c>
      <c r="T2112" s="9">
        <f t="shared" si="243"/>
        <v>41786.999305555553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40"/>
        <v>1.0649999999999999</v>
      </c>
      <c r="P2113">
        <f t="shared" si="241"/>
        <v>2065</v>
      </c>
      <c r="Q2113" t="str">
        <f t="shared" si="246"/>
        <v>music</v>
      </c>
      <c r="R2113" t="str">
        <f t="shared" si="247"/>
        <v>indie rock</v>
      </c>
      <c r="S2113" s="9">
        <f t="shared" si="242"/>
        <v>40702.988715277774</v>
      </c>
      <c r="T2113" s="9">
        <f t="shared" si="243"/>
        <v>40769.833333333328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40"/>
        <v>1</v>
      </c>
      <c r="P2114">
        <f t="shared" si="241"/>
        <v>300</v>
      </c>
      <c r="Q2114" t="str">
        <f t="shared" si="246"/>
        <v>music</v>
      </c>
      <c r="R2114" t="str">
        <f t="shared" si="247"/>
        <v>indie rock</v>
      </c>
      <c r="S2114" s="9">
        <f t="shared" si="242"/>
        <v>41365.719826388886</v>
      </c>
      <c r="T2114" s="9">
        <f t="shared" si="243"/>
        <v>41379.719826388886</v>
      </c>
    </row>
    <row r="2115" spans="1:20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48">E2115/D2115</f>
        <v>1.0485714285714285</v>
      </c>
      <c r="P2115">
        <f t="shared" ref="P2115:P2178" si="249">AVERAGE(D2115:E2115)</f>
        <v>7170</v>
      </c>
      <c r="Q2115" t="str">
        <f t="shared" si="246"/>
        <v>music</v>
      </c>
      <c r="R2115" t="str">
        <f t="shared" si="247"/>
        <v>indie rock</v>
      </c>
      <c r="S2115" s="9">
        <f t="shared" ref="S2115:S2178" si="250">J2115/86400+25569+(-5/24)</f>
        <v>41870.657129629624</v>
      </c>
      <c r="T2115" s="9">
        <f t="shared" si="243"/>
        <v>41905.657129629624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48"/>
        <v>1.0469999999999999</v>
      </c>
      <c r="P2116">
        <f t="shared" si="249"/>
        <v>5117.5</v>
      </c>
      <c r="Q2116" t="str">
        <f t="shared" si="246"/>
        <v>music</v>
      </c>
      <c r="R2116" t="str">
        <f t="shared" si="247"/>
        <v>indie rock</v>
      </c>
      <c r="S2116" s="9">
        <f t="shared" si="250"/>
        <v>40458.607291666667</v>
      </c>
      <c r="T2116" s="9">
        <f t="shared" ref="T2116:T2179" si="251">I2116/86400+25569+(-5/24)</f>
        <v>40520.999305555553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48"/>
        <v>2.2566666666666668</v>
      </c>
      <c r="P2117">
        <f t="shared" si="249"/>
        <v>2442.5</v>
      </c>
      <c r="Q2117" t="str">
        <f t="shared" si="246"/>
        <v>music</v>
      </c>
      <c r="R2117" t="str">
        <f t="shared" si="247"/>
        <v>indie rock</v>
      </c>
      <c r="S2117" s="9">
        <f t="shared" si="250"/>
        <v>40563.872696759259</v>
      </c>
      <c r="T2117" s="9">
        <f t="shared" si="251"/>
        <v>40593.872696759259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48"/>
        <v>1.0090416666666666</v>
      </c>
      <c r="P2118">
        <f t="shared" si="249"/>
        <v>48217</v>
      </c>
      <c r="Q2118" t="str">
        <f t="shared" si="246"/>
        <v>music</v>
      </c>
      <c r="R2118" t="str">
        <f t="shared" si="247"/>
        <v>indie rock</v>
      </c>
      <c r="S2118" s="9">
        <f t="shared" si="250"/>
        <v>41136.569479166668</v>
      </c>
      <c r="T2118" s="9">
        <f t="shared" si="251"/>
        <v>41184.569479166668</v>
      </c>
    </row>
    <row r="2119" spans="1:20" ht="43.5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48"/>
        <v>1.4775</v>
      </c>
      <c r="P2119">
        <f t="shared" si="249"/>
        <v>1486.5</v>
      </c>
      <c r="Q2119" t="str">
        <f t="shared" si="246"/>
        <v>music</v>
      </c>
      <c r="R2119" t="str">
        <f t="shared" si="247"/>
        <v>indie rock</v>
      </c>
      <c r="S2119" s="9">
        <f t="shared" si="250"/>
        <v>42289.851261574069</v>
      </c>
      <c r="T2119" s="9">
        <f t="shared" si="251"/>
        <v>42303.999305555553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48"/>
        <v>1.3461099999999999</v>
      </c>
      <c r="P2120">
        <f t="shared" si="249"/>
        <v>1173.0549999999998</v>
      </c>
      <c r="Q2120" t="str">
        <f t="shared" si="246"/>
        <v>music</v>
      </c>
      <c r="R2120" t="str">
        <f t="shared" si="247"/>
        <v>indie rock</v>
      </c>
      <c r="S2120" s="9">
        <f t="shared" si="250"/>
        <v>40718.631203703699</v>
      </c>
      <c r="T2120" s="9">
        <f t="shared" si="251"/>
        <v>40748.631203703699</v>
      </c>
    </row>
    <row r="2121" spans="1:20" ht="29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48"/>
        <v>1.0075000000000001</v>
      </c>
      <c r="P2121">
        <f t="shared" si="249"/>
        <v>2007.5</v>
      </c>
      <c r="Q2121" t="str">
        <f t="shared" si="246"/>
        <v>music</v>
      </c>
      <c r="R2121" t="str">
        <f t="shared" si="247"/>
        <v>indie rock</v>
      </c>
      <c r="S2121" s="9">
        <f t="shared" si="250"/>
        <v>41106.921817129631</v>
      </c>
      <c r="T2121" s="9">
        <f t="shared" si="251"/>
        <v>41136.921817129631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48"/>
        <v>1.00880375</v>
      </c>
      <c r="P2122">
        <f t="shared" si="249"/>
        <v>8035.2150000000001</v>
      </c>
      <c r="Q2122" t="str">
        <f t="shared" si="246"/>
        <v>music</v>
      </c>
      <c r="R2122" t="str">
        <f t="shared" si="247"/>
        <v>indie rock</v>
      </c>
      <c r="S2122" s="9">
        <f t="shared" si="250"/>
        <v>41591.756203703699</v>
      </c>
      <c r="T2122" s="9">
        <f t="shared" si="251"/>
        <v>41640.756203703699</v>
      </c>
    </row>
    <row r="2123" spans="1:20" ht="29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48"/>
        <v>5.6800000000000002E-3</v>
      </c>
      <c r="P2123">
        <f t="shared" si="249"/>
        <v>25142</v>
      </c>
      <c r="Q2123" t="str">
        <f>IF(N2123="games/video games","games")</f>
        <v>games</v>
      </c>
      <c r="R2123" t="str">
        <f>IF(N2123="games/video games","video games")</f>
        <v>video games</v>
      </c>
      <c r="S2123" s="9">
        <f t="shared" si="250"/>
        <v>42716.534120370365</v>
      </c>
      <c r="T2123" s="9">
        <f t="shared" si="251"/>
        <v>42746.534120370365</v>
      </c>
    </row>
    <row r="2124" spans="1:20" ht="29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48"/>
        <v>3.875E-3</v>
      </c>
      <c r="P2124">
        <f t="shared" si="249"/>
        <v>40155</v>
      </c>
      <c r="Q2124" t="str">
        <f t="shared" ref="Q2124:Q2162" si="252">IF(N2124="games/video games","games")</f>
        <v>games</v>
      </c>
      <c r="R2124" t="str">
        <f t="shared" ref="R2124:R2162" si="253">IF(N2124="games/video games","video games")</f>
        <v>video games</v>
      </c>
      <c r="S2124" s="9">
        <f t="shared" si="250"/>
        <v>42712.092233796291</v>
      </c>
      <c r="T2124" s="9">
        <f t="shared" si="251"/>
        <v>42742.092233796291</v>
      </c>
    </row>
    <row r="2125" spans="1:20" ht="43.5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48"/>
        <v>0.1</v>
      </c>
      <c r="P2125">
        <f t="shared" si="249"/>
        <v>275</v>
      </c>
      <c r="Q2125" t="str">
        <f t="shared" si="252"/>
        <v>games</v>
      </c>
      <c r="R2125" t="str">
        <f t="shared" si="253"/>
        <v>video games</v>
      </c>
      <c r="S2125" s="9">
        <f t="shared" si="250"/>
        <v>40198.216516203705</v>
      </c>
      <c r="T2125" s="9">
        <f t="shared" si="251"/>
        <v>40252.082638888889</v>
      </c>
    </row>
    <row r="2126" spans="1:20" ht="43.5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48"/>
        <v>0.10454545454545454</v>
      </c>
      <c r="P2126">
        <f t="shared" si="249"/>
        <v>607.5</v>
      </c>
      <c r="Q2126" t="str">
        <f t="shared" si="252"/>
        <v>games</v>
      </c>
      <c r="R2126" t="str">
        <f t="shared" si="253"/>
        <v>video games</v>
      </c>
      <c r="S2126" s="9">
        <f t="shared" si="250"/>
        <v>40463.819849537038</v>
      </c>
      <c r="T2126" s="9">
        <f t="shared" si="251"/>
        <v>40512</v>
      </c>
    </row>
    <row r="2127" spans="1:20" ht="29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48"/>
        <v>1.4200000000000001E-2</v>
      </c>
      <c r="P2127">
        <f t="shared" si="249"/>
        <v>30426</v>
      </c>
      <c r="Q2127" t="str">
        <f t="shared" si="252"/>
        <v>games</v>
      </c>
      <c r="R2127" t="str">
        <f t="shared" si="253"/>
        <v>video games</v>
      </c>
      <c r="S2127" s="9">
        <f t="shared" si="250"/>
        <v>42190.815196759257</v>
      </c>
      <c r="T2127" s="9">
        <f t="shared" si="251"/>
        <v>42220.815196759257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48"/>
        <v>5.0000000000000001E-4</v>
      </c>
      <c r="P2128">
        <f t="shared" si="249"/>
        <v>10005</v>
      </c>
      <c r="Q2128" t="str">
        <f t="shared" si="252"/>
        <v>games</v>
      </c>
      <c r="R2128" t="str">
        <f t="shared" si="253"/>
        <v>video games</v>
      </c>
      <c r="S2128" s="9">
        <f t="shared" si="250"/>
        <v>41951.76489583333</v>
      </c>
      <c r="T2128" s="9">
        <f t="shared" si="251"/>
        <v>41981.76489583333</v>
      </c>
    </row>
    <row r="2129" spans="1:20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48"/>
        <v>0.28842857142857142</v>
      </c>
      <c r="P2129">
        <f t="shared" si="249"/>
        <v>18038</v>
      </c>
      <c r="Q2129" t="str">
        <f t="shared" si="252"/>
        <v>games</v>
      </c>
      <c r="R2129" t="str">
        <f t="shared" si="253"/>
        <v>video games</v>
      </c>
      <c r="S2129" s="9">
        <f t="shared" si="250"/>
        <v>42045.297025462962</v>
      </c>
      <c r="T2129" s="9">
        <f t="shared" si="251"/>
        <v>42075.255358796298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48"/>
        <v>1.6666666666666668E-3</v>
      </c>
      <c r="P2130">
        <f t="shared" si="249"/>
        <v>7512.5</v>
      </c>
      <c r="Q2130" t="str">
        <f t="shared" si="252"/>
        <v>games</v>
      </c>
      <c r="R2130" t="str">
        <f t="shared" si="253"/>
        <v>video games</v>
      </c>
      <c r="S2130" s="9">
        <f t="shared" si="250"/>
        <v>41843.564456018517</v>
      </c>
      <c r="T2130" s="9">
        <f t="shared" si="251"/>
        <v>41903.564456018517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48"/>
        <v>0.11799999999999999</v>
      </c>
      <c r="P2131">
        <f t="shared" si="249"/>
        <v>1118</v>
      </c>
      <c r="Q2131" t="str">
        <f t="shared" si="252"/>
        <v>games</v>
      </c>
      <c r="R2131" t="str">
        <f t="shared" si="253"/>
        <v>video games</v>
      </c>
      <c r="S2131" s="9">
        <f t="shared" si="250"/>
        <v>42408.815972222219</v>
      </c>
      <c r="T2131" s="9">
        <f t="shared" si="251"/>
        <v>42438.815972222219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48"/>
        <v>2.0238095238095236E-3</v>
      </c>
      <c r="P2132">
        <f t="shared" si="249"/>
        <v>21042.5</v>
      </c>
      <c r="Q2132" t="str">
        <f t="shared" si="252"/>
        <v>games</v>
      </c>
      <c r="R2132" t="str">
        <f t="shared" si="253"/>
        <v>video games</v>
      </c>
      <c r="S2132" s="9">
        <f t="shared" si="250"/>
        <v>41831.87804398148</v>
      </c>
      <c r="T2132" s="9">
        <f t="shared" si="251"/>
        <v>41866.87804398148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48"/>
        <v>0.05</v>
      </c>
      <c r="P2133">
        <f t="shared" si="249"/>
        <v>262.5</v>
      </c>
      <c r="Q2133" t="str">
        <f t="shared" si="252"/>
        <v>games</v>
      </c>
      <c r="R2133" t="str">
        <f t="shared" si="253"/>
        <v>video games</v>
      </c>
      <c r="S2133" s="9">
        <f t="shared" si="250"/>
        <v>42166.998738425922</v>
      </c>
      <c r="T2133" s="9">
        <f t="shared" si="251"/>
        <v>42196.998738425922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48"/>
        <v>2.1129899999999997E-2</v>
      </c>
      <c r="P2134">
        <f t="shared" si="249"/>
        <v>51056.495000000003</v>
      </c>
      <c r="Q2134" t="str">
        <f t="shared" si="252"/>
        <v>games</v>
      </c>
      <c r="R2134" t="str">
        <f t="shared" si="253"/>
        <v>video games</v>
      </c>
      <c r="S2134" s="9">
        <f t="shared" si="250"/>
        <v>41643.27884259259</v>
      </c>
      <c r="T2134" s="9">
        <f t="shared" si="251"/>
        <v>41673.27884259259</v>
      </c>
    </row>
    <row r="2135" spans="1:20" ht="43.5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48"/>
        <v>1.6E-2</v>
      </c>
      <c r="P2135">
        <f t="shared" si="249"/>
        <v>508</v>
      </c>
      <c r="Q2135" t="str">
        <f t="shared" si="252"/>
        <v>games</v>
      </c>
      <c r="R2135" t="str">
        <f t="shared" si="253"/>
        <v>video games</v>
      </c>
      <c r="S2135" s="9">
        <f t="shared" si="250"/>
        <v>40618.888877314814</v>
      </c>
      <c r="T2135" s="9">
        <f t="shared" si="251"/>
        <v>40657.082638888889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48"/>
        <v>1.7333333333333333E-2</v>
      </c>
      <c r="P2136">
        <f t="shared" si="249"/>
        <v>3052</v>
      </c>
      <c r="Q2136" t="str">
        <f t="shared" si="252"/>
        <v>games</v>
      </c>
      <c r="R2136" t="str">
        <f t="shared" si="253"/>
        <v>video games</v>
      </c>
      <c r="S2136" s="9">
        <f t="shared" si="250"/>
        <v>41361.678136574068</v>
      </c>
      <c r="T2136" s="9">
        <f t="shared" si="251"/>
        <v>41391.678136574068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48"/>
        <v>9.5600000000000004E-2</v>
      </c>
      <c r="P2137">
        <f t="shared" si="249"/>
        <v>2739</v>
      </c>
      <c r="Q2137" t="str">
        <f t="shared" si="252"/>
        <v>games</v>
      </c>
      <c r="R2137" t="str">
        <f t="shared" si="253"/>
        <v>video games</v>
      </c>
      <c r="S2137" s="9">
        <f t="shared" si="250"/>
        <v>41156.755011574074</v>
      </c>
      <c r="T2137" s="9">
        <f t="shared" si="251"/>
        <v>41186.755011574074</v>
      </c>
    </row>
    <row r="2138" spans="1:20" ht="29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48"/>
        <v>5.9612499999999998E-4</v>
      </c>
      <c r="P2138">
        <f t="shared" si="249"/>
        <v>40023.845000000001</v>
      </c>
      <c r="Q2138" t="str">
        <f t="shared" si="252"/>
        <v>games</v>
      </c>
      <c r="R2138" t="str">
        <f t="shared" si="253"/>
        <v>video games</v>
      </c>
      <c r="S2138" s="9">
        <f t="shared" si="250"/>
        <v>41536.300763888888</v>
      </c>
      <c r="T2138" s="9">
        <f t="shared" si="251"/>
        <v>41566.300763888888</v>
      </c>
    </row>
    <row r="2139" spans="1:20" ht="29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48"/>
        <v>0.28405999999999998</v>
      </c>
      <c r="P2139">
        <f t="shared" si="249"/>
        <v>32101.5</v>
      </c>
      <c r="Q2139" t="str">
        <f t="shared" si="252"/>
        <v>games</v>
      </c>
      <c r="R2139" t="str">
        <f t="shared" si="253"/>
        <v>video games</v>
      </c>
      <c r="S2139" s="9">
        <f t="shared" si="250"/>
        <v>41948.562835648147</v>
      </c>
      <c r="T2139" s="9">
        <f t="shared" si="251"/>
        <v>41978.562835648147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48"/>
        <v>0.128</v>
      </c>
      <c r="P2140">
        <f t="shared" si="249"/>
        <v>564</v>
      </c>
      <c r="Q2140" t="str">
        <f t="shared" si="252"/>
        <v>games</v>
      </c>
      <c r="R2140" t="str">
        <f t="shared" si="253"/>
        <v>video games</v>
      </c>
      <c r="S2140" s="9">
        <f t="shared" si="250"/>
        <v>41556.804849537039</v>
      </c>
      <c r="T2140" s="9">
        <f t="shared" si="251"/>
        <v>41586.846516203703</v>
      </c>
    </row>
    <row r="2141" spans="1:20" ht="43.5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48"/>
        <v>5.4199999999999998E-2</v>
      </c>
      <c r="P2141">
        <f t="shared" si="249"/>
        <v>15813</v>
      </c>
      <c r="Q2141" t="str">
        <f t="shared" si="252"/>
        <v>games</v>
      </c>
      <c r="R2141" t="str">
        <f t="shared" si="253"/>
        <v>video games</v>
      </c>
      <c r="S2141" s="9">
        <f t="shared" si="250"/>
        <v>42647.541759259257</v>
      </c>
      <c r="T2141" s="9">
        <f t="shared" si="251"/>
        <v>42677.541759259257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48"/>
        <v>1.1199999999999999E-3</v>
      </c>
      <c r="P2142">
        <f t="shared" si="249"/>
        <v>250280</v>
      </c>
      <c r="Q2142" t="str">
        <f t="shared" si="252"/>
        <v>games</v>
      </c>
      <c r="R2142" t="str">
        <f t="shared" si="253"/>
        <v>video games</v>
      </c>
      <c r="S2142" s="9">
        <f t="shared" si="250"/>
        <v>41255.625277777777</v>
      </c>
      <c r="T2142" s="9">
        <f t="shared" si="251"/>
        <v>41285.625277777777</v>
      </c>
    </row>
    <row r="2143" spans="1:20" ht="43.5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48"/>
        <v>0</v>
      </c>
      <c r="P2143">
        <f t="shared" si="249"/>
        <v>7500</v>
      </c>
      <c r="Q2143" t="str">
        <f t="shared" si="252"/>
        <v>games</v>
      </c>
      <c r="R2143" t="str">
        <f t="shared" si="253"/>
        <v>video games</v>
      </c>
      <c r="S2143" s="9">
        <f t="shared" si="250"/>
        <v>41927.027303240735</v>
      </c>
      <c r="T2143" s="9">
        <f t="shared" si="251"/>
        <v>41957.068969907406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48"/>
        <v>5.7238095238095241E-2</v>
      </c>
      <c r="P2144">
        <f t="shared" si="249"/>
        <v>5550.5</v>
      </c>
      <c r="Q2144" t="str">
        <f t="shared" si="252"/>
        <v>games</v>
      </c>
      <c r="R2144" t="str">
        <f t="shared" si="253"/>
        <v>video games</v>
      </c>
      <c r="S2144" s="9">
        <f t="shared" si="250"/>
        <v>42340.493171296293</v>
      </c>
      <c r="T2144" s="9">
        <f t="shared" si="251"/>
        <v>42368.493171296293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48"/>
        <v>0.1125</v>
      </c>
      <c r="P2145">
        <f t="shared" si="249"/>
        <v>1112.5</v>
      </c>
      <c r="Q2145" t="str">
        <f t="shared" si="252"/>
        <v>games</v>
      </c>
      <c r="R2145" t="str">
        <f t="shared" si="253"/>
        <v>video games</v>
      </c>
      <c r="S2145" s="9">
        <f t="shared" si="250"/>
        <v>40332.678379629629</v>
      </c>
      <c r="T2145" s="9">
        <f t="shared" si="251"/>
        <v>40380.583333333328</v>
      </c>
    </row>
    <row r="2146" spans="1:20" ht="29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48"/>
        <v>1.7098591549295775E-2</v>
      </c>
      <c r="P2146">
        <f t="shared" si="249"/>
        <v>18053.5</v>
      </c>
      <c r="Q2146" t="str">
        <f t="shared" si="252"/>
        <v>games</v>
      </c>
      <c r="R2146" t="str">
        <f t="shared" si="253"/>
        <v>video games</v>
      </c>
      <c r="S2146" s="9">
        <f t="shared" si="250"/>
        <v>41499.338425925926</v>
      </c>
      <c r="T2146" s="9">
        <f t="shared" si="251"/>
        <v>41531.338425925926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48"/>
        <v>0.30433333333333334</v>
      </c>
      <c r="P2147">
        <f t="shared" si="249"/>
        <v>9782.5</v>
      </c>
      <c r="Q2147" t="str">
        <f t="shared" si="252"/>
        <v>games</v>
      </c>
      <c r="R2147" t="str">
        <f t="shared" si="253"/>
        <v>video games</v>
      </c>
      <c r="S2147" s="9">
        <f t="shared" si="250"/>
        <v>41575.029097222221</v>
      </c>
      <c r="T2147" s="9">
        <f t="shared" si="251"/>
        <v>41605.070763888885</v>
      </c>
    </row>
    <row r="2148" spans="1:20" ht="43.5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48"/>
        <v>2.0000000000000001E-4</v>
      </c>
      <c r="P2148">
        <f t="shared" si="249"/>
        <v>2500.5</v>
      </c>
      <c r="Q2148" t="str">
        <f t="shared" si="252"/>
        <v>games</v>
      </c>
      <c r="R2148" t="str">
        <f t="shared" si="253"/>
        <v>video games</v>
      </c>
      <c r="S2148" s="9">
        <f t="shared" si="250"/>
        <v>42397.471180555549</v>
      </c>
      <c r="T2148" s="9">
        <f t="shared" si="251"/>
        <v>42411.471180555549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48"/>
        <v>6.9641025641025639E-3</v>
      </c>
      <c r="P2149">
        <f t="shared" si="249"/>
        <v>196358</v>
      </c>
      <c r="Q2149" t="str">
        <f t="shared" si="252"/>
        <v>games</v>
      </c>
      <c r="R2149" t="str">
        <f t="shared" si="253"/>
        <v>video games</v>
      </c>
      <c r="S2149" s="9">
        <f t="shared" si="250"/>
        <v>41927.087361111109</v>
      </c>
      <c r="T2149" s="9">
        <f t="shared" si="251"/>
        <v>41959.129027777781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48"/>
        <v>0.02</v>
      </c>
      <c r="P2150">
        <f t="shared" si="249"/>
        <v>51</v>
      </c>
      <c r="Q2150" t="str">
        <f t="shared" si="252"/>
        <v>games</v>
      </c>
      <c r="R2150" t="str">
        <f t="shared" si="253"/>
        <v>video games</v>
      </c>
      <c r="S2150" s="9">
        <f t="shared" si="250"/>
        <v>42066.525254629632</v>
      </c>
      <c r="T2150" s="9">
        <f t="shared" si="251"/>
        <v>42096.483587962961</v>
      </c>
    </row>
    <row r="2151" spans="1:20" ht="43.5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48"/>
        <v>0</v>
      </c>
      <c r="P2151">
        <f t="shared" si="249"/>
        <v>1000</v>
      </c>
      <c r="Q2151" t="str">
        <f t="shared" si="252"/>
        <v>games</v>
      </c>
      <c r="R2151" t="str">
        <f t="shared" si="253"/>
        <v>video games</v>
      </c>
      <c r="S2151" s="9">
        <f t="shared" si="250"/>
        <v>40354.816620370366</v>
      </c>
      <c r="T2151" s="9">
        <f t="shared" si="251"/>
        <v>40389.791666666664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48"/>
        <v>8.0999999999999996E-3</v>
      </c>
      <c r="P2152">
        <f t="shared" si="249"/>
        <v>25202.5</v>
      </c>
      <c r="Q2152" t="str">
        <f t="shared" si="252"/>
        <v>games</v>
      </c>
      <c r="R2152" t="str">
        <f t="shared" si="253"/>
        <v>video games</v>
      </c>
      <c r="S2152" s="9">
        <f t="shared" si="250"/>
        <v>42534.076377314814</v>
      </c>
      <c r="T2152" s="9">
        <f t="shared" si="251"/>
        <v>42564.076377314814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48"/>
        <v>2.6222222222222224E-3</v>
      </c>
      <c r="P2153">
        <f t="shared" si="249"/>
        <v>22559</v>
      </c>
      <c r="Q2153" t="str">
        <f t="shared" si="252"/>
        <v>games</v>
      </c>
      <c r="R2153" t="str">
        <f t="shared" si="253"/>
        <v>video games</v>
      </c>
      <c r="S2153" s="9">
        <f t="shared" si="250"/>
        <v>42520.639050925922</v>
      </c>
      <c r="T2153" s="9">
        <f t="shared" si="251"/>
        <v>42550.639050925922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48"/>
        <v>1.6666666666666668E-3</v>
      </c>
      <c r="P2154">
        <f t="shared" si="249"/>
        <v>15025</v>
      </c>
      <c r="Q2154" t="str">
        <f t="shared" si="252"/>
        <v>games</v>
      </c>
      <c r="R2154" t="str">
        <f t="shared" si="253"/>
        <v>video games</v>
      </c>
      <c r="S2154" s="9">
        <f t="shared" si="250"/>
        <v>41683.62394675926</v>
      </c>
      <c r="T2154" s="9">
        <f t="shared" si="251"/>
        <v>41713.582280092589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48"/>
        <v>9.1244548809124457E-5</v>
      </c>
      <c r="P2155">
        <f t="shared" si="249"/>
        <v>186329.5</v>
      </c>
      <c r="Q2155" t="str">
        <f t="shared" si="252"/>
        <v>games</v>
      </c>
      <c r="R2155" t="str">
        <f t="shared" si="253"/>
        <v>video games</v>
      </c>
      <c r="S2155" s="9">
        <f t="shared" si="250"/>
        <v>41974.702754629623</v>
      </c>
      <c r="T2155" s="9">
        <f t="shared" si="251"/>
        <v>42014.124305555553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48"/>
        <v>8.0000000000000002E-3</v>
      </c>
      <c r="P2156">
        <f t="shared" si="249"/>
        <v>126</v>
      </c>
      <c r="Q2156" t="str">
        <f t="shared" si="252"/>
        <v>games</v>
      </c>
      <c r="R2156" t="str">
        <f t="shared" si="253"/>
        <v>video games</v>
      </c>
      <c r="S2156" s="9">
        <f t="shared" si="250"/>
        <v>41647.42392361111</v>
      </c>
      <c r="T2156" s="9">
        <f t="shared" si="251"/>
        <v>41667.42392361111</v>
      </c>
    </row>
    <row r="2157" spans="1:20" ht="29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48"/>
        <v>2.3E-2</v>
      </c>
      <c r="P2157">
        <f t="shared" si="249"/>
        <v>2557.5</v>
      </c>
      <c r="Q2157" t="str">
        <f t="shared" si="252"/>
        <v>games</v>
      </c>
      <c r="R2157" t="str">
        <f t="shared" si="253"/>
        <v>video games</v>
      </c>
      <c r="S2157" s="9">
        <f t="shared" si="250"/>
        <v>42430.539178240739</v>
      </c>
      <c r="T2157" s="9">
        <f t="shared" si="251"/>
        <v>42460.497511574074</v>
      </c>
    </row>
    <row r="2158" spans="1:20" ht="29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48"/>
        <v>2.6660714285714284E-2</v>
      </c>
      <c r="P2158">
        <f t="shared" si="249"/>
        <v>28746.5</v>
      </c>
      <c r="Q2158" t="str">
        <f t="shared" si="252"/>
        <v>games</v>
      </c>
      <c r="R2158" t="str">
        <f t="shared" si="253"/>
        <v>video games</v>
      </c>
      <c r="S2158" s="9">
        <f t="shared" si="250"/>
        <v>41488.645902777775</v>
      </c>
      <c r="T2158" s="9">
        <f t="shared" si="251"/>
        <v>41533.645902777775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48"/>
        <v>0.28192</v>
      </c>
      <c r="P2159">
        <f t="shared" si="249"/>
        <v>48072</v>
      </c>
      <c r="Q2159" t="str">
        <f t="shared" si="252"/>
        <v>games</v>
      </c>
      <c r="R2159" t="str">
        <f t="shared" si="253"/>
        <v>video games</v>
      </c>
      <c r="S2159" s="9">
        <f t="shared" si="250"/>
        <v>42694.772951388884</v>
      </c>
      <c r="T2159" s="9">
        <f t="shared" si="251"/>
        <v>42727.124305555553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48"/>
        <v>6.5900366666666668E-2</v>
      </c>
      <c r="P2160">
        <f t="shared" si="249"/>
        <v>159885.05499999999</v>
      </c>
      <c r="Q2160" t="str">
        <f t="shared" si="252"/>
        <v>games</v>
      </c>
      <c r="R2160" t="str">
        <f t="shared" si="253"/>
        <v>video games</v>
      </c>
      <c r="S2160" s="9">
        <f t="shared" si="250"/>
        <v>41264.645532407405</v>
      </c>
      <c r="T2160" s="9">
        <f t="shared" si="251"/>
        <v>41309.645532407405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48"/>
        <v>7.2222222222222219E-3</v>
      </c>
      <c r="P2161">
        <f t="shared" si="249"/>
        <v>1813</v>
      </c>
      <c r="Q2161" t="str">
        <f t="shared" si="252"/>
        <v>games</v>
      </c>
      <c r="R2161" t="str">
        <f t="shared" si="253"/>
        <v>video games</v>
      </c>
      <c r="S2161" s="9">
        <f t="shared" si="250"/>
        <v>40710.522847222222</v>
      </c>
      <c r="T2161" s="9">
        <f t="shared" si="251"/>
        <v>40740.522847222222</v>
      </c>
    </row>
    <row r="2162" spans="1:20" ht="29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48"/>
        <v>8.5000000000000006E-3</v>
      </c>
      <c r="P2162">
        <f t="shared" si="249"/>
        <v>5042.5</v>
      </c>
      <c r="Q2162" t="str">
        <f t="shared" si="252"/>
        <v>games</v>
      </c>
      <c r="R2162" t="str">
        <f t="shared" si="253"/>
        <v>video games</v>
      </c>
      <c r="S2162" s="9">
        <f t="shared" si="250"/>
        <v>41018.503530092588</v>
      </c>
      <c r="T2162" s="9">
        <f t="shared" si="251"/>
        <v>41048.503530092588</v>
      </c>
    </row>
    <row r="2163" spans="1:20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48"/>
        <v>1.1575</v>
      </c>
      <c r="P2163">
        <f t="shared" si="249"/>
        <v>431.5</v>
      </c>
      <c r="Q2163" t="str">
        <f>IF(N2163="music/rock","music")</f>
        <v>music</v>
      </c>
      <c r="R2163" t="str">
        <f>IF(N2163="music/rock","rock")</f>
        <v>rock</v>
      </c>
      <c r="S2163" s="9">
        <f t="shared" si="250"/>
        <v>42240.644201388888</v>
      </c>
      <c r="T2163" s="9">
        <f t="shared" si="251"/>
        <v>42270.644201388888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48"/>
        <v>1.1226666666666667</v>
      </c>
      <c r="P2164">
        <f t="shared" si="249"/>
        <v>4776</v>
      </c>
      <c r="Q2164" t="str">
        <f t="shared" ref="Q2164:Q2182" si="254">IF(N2164="music/rock","music")</f>
        <v>music</v>
      </c>
      <c r="R2164" t="str">
        <f t="shared" ref="R2164:R2182" si="255">IF(N2164="music/rock","rock")</f>
        <v>rock</v>
      </c>
      <c r="S2164" s="9">
        <f t="shared" si="250"/>
        <v>41813.557766203703</v>
      </c>
      <c r="T2164" s="9">
        <f t="shared" si="251"/>
        <v>41844.557766203703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48"/>
        <v>1.3220000000000001</v>
      </c>
      <c r="P2165">
        <f t="shared" si="249"/>
        <v>2902.5</v>
      </c>
      <c r="Q2165" t="str">
        <f t="shared" si="254"/>
        <v>music</v>
      </c>
      <c r="R2165" t="str">
        <f t="shared" si="255"/>
        <v>rock</v>
      </c>
      <c r="S2165" s="9">
        <f t="shared" si="250"/>
        <v>42111.691203703704</v>
      </c>
      <c r="T2165" s="9">
        <f t="shared" si="251"/>
        <v>42162.951388888883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48"/>
        <v>1.0263636363636364</v>
      </c>
      <c r="P2166">
        <f t="shared" si="249"/>
        <v>5572.5</v>
      </c>
      <c r="Q2166" t="str">
        <f t="shared" si="254"/>
        <v>music</v>
      </c>
      <c r="R2166" t="str">
        <f t="shared" si="255"/>
        <v>rock</v>
      </c>
      <c r="S2166" s="9">
        <f t="shared" si="250"/>
        <v>42515.509421296294</v>
      </c>
      <c r="T2166" s="9">
        <f t="shared" si="251"/>
        <v>42545.957638888889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48"/>
        <v>1.3864000000000001</v>
      </c>
      <c r="P2167">
        <f t="shared" si="249"/>
        <v>2983</v>
      </c>
      <c r="Q2167" t="str">
        <f t="shared" si="254"/>
        <v>music</v>
      </c>
      <c r="R2167" t="str">
        <f t="shared" si="255"/>
        <v>rock</v>
      </c>
      <c r="S2167" s="9">
        <f t="shared" si="250"/>
        <v>42438.458738425928</v>
      </c>
      <c r="T2167" s="9">
        <f t="shared" si="251"/>
        <v>42468.417071759257</v>
      </c>
    </row>
    <row r="2168" spans="1:20" ht="43.5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48"/>
        <v>1.466</v>
      </c>
      <c r="P2168">
        <f t="shared" si="249"/>
        <v>2466</v>
      </c>
      <c r="Q2168" t="str">
        <f t="shared" si="254"/>
        <v>music</v>
      </c>
      <c r="R2168" t="str">
        <f t="shared" si="255"/>
        <v>rock</v>
      </c>
      <c r="S2168" s="9">
        <f t="shared" si="250"/>
        <v>41933.629837962959</v>
      </c>
      <c r="T2168" s="9">
        <f t="shared" si="251"/>
        <v>41978.671504629623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48"/>
        <v>1.2</v>
      </c>
      <c r="P2169">
        <f t="shared" si="249"/>
        <v>165</v>
      </c>
      <c r="Q2169" t="str">
        <f t="shared" si="254"/>
        <v>music</v>
      </c>
      <c r="R2169" t="str">
        <f t="shared" si="255"/>
        <v>rock</v>
      </c>
      <c r="S2169" s="9">
        <f t="shared" si="250"/>
        <v>41152.858067129629</v>
      </c>
      <c r="T2169" s="9">
        <f t="shared" si="251"/>
        <v>41166.858067129629</v>
      </c>
    </row>
    <row r="2170" spans="1:20" ht="29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48"/>
        <v>1.215816111111111</v>
      </c>
      <c r="P2170">
        <f t="shared" si="249"/>
        <v>19942.345000000001</v>
      </c>
      <c r="Q2170" t="str">
        <f t="shared" si="254"/>
        <v>music</v>
      </c>
      <c r="R2170" t="str">
        <f t="shared" si="255"/>
        <v>rock</v>
      </c>
      <c r="S2170" s="9">
        <f t="shared" si="250"/>
        <v>42745.391909722217</v>
      </c>
      <c r="T2170" s="9">
        <f t="shared" si="251"/>
        <v>42775.999999999993</v>
      </c>
    </row>
    <row r="2171" spans="1:20" ht="43.5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48"/>
        <v>1</v>
      </c>
      <c r="P2171">
        <f t="shared" si="249"/>
        <v>153</v>
      </c>
      <c r="Q2171" t="str">
        <f t="shared" si="254"/>
        <v>music</v>
      </c>
      <c r="R2171" t="str">
        <f t="shared" si="255"/>
        <v>rock</v>
      </c>
      <c r="S2171" s="9">
        <f t="shared" si="250"/>
        <v>42793.492488425924</v>
      </c>
      <c r="T2171" s="9">
        <f t="shared" si="251"/>
        <v>42796.492488425924</v>
      </c>
    </row>
    <row r="2172" spans="1:20" ht="29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48"/>
        <v>1.8085714285714285</v>
      </c>
      <c r="P2172">
        <f t="shared" si="249"/>
        <v>491.5</v>
      </c>
      <c r="Q2172" t="str">
        <f t="shared" si="254"/>
        <v>music</v>
      </c>
      <c r="R2172" t="str">
        <f t="shared" si="255"/>
        <v>rock</v>
      </c>
      <c r="S2172" s="9">
        <f t="shared" si="250"/>
        <v>42198.541921296295</v>
      </c>
      <c r="T2172" s="9">
        <f t="shared" si="251"/>
        <v>42238.541921296295</v>
      </c>
    </row>
    <row r="2173" spans="1:20" ht="29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48"/>
        <v>1.0607500000000001</v>
      </c>
      <c r="P2173">
        <f t="shared" si="249"/>
        <v>4121.5</v>
      </c>
      <c r="Q2173" t="str">
        <f t="shared" si="254"/>
        <v>music</v>
      </c>
      <c r="R2173" t="str">
        <f t="shared" si="255"/>
        <v>rock</v>
      </c>
      <c r="S2173" s="9">
        <f t="shared" si="250"/>
        <v>42141.748784722215</v>
      </c>
      <c r="T2173" s="9">
        <f t="shared" si="251"/>
        <v>42176.999999999993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48"/>
        <v>1</v>
      </c>
      <c r="P2174">
        <f t="shared" si="249"/>
        <v>1000</v>
      </c>
      <c r="Q2174" t="str">
        <f t="shared" si="254"/>
        <v>music</v>
      </c>
      <c r="R2174" t="str">
        <f t="shared" si="255"/>
        <v>rock</v>
      </c>
      <c r="S2174" s="9">
        <f t="shared" si="250"/>
        <v>42082.371759259258</v>
      </c>
      <c r="T2174" s="9">
        <f t="shared" si="251"/>
        <v>42112.371759259258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48"/>
        <v>1.2692857142857144</v>
      </c>
      <c r="P2175">
        <f t="shared" si="249"/>
        <v>4765.5</v>
      </c>
      <c r="Q2175" t="str">
        <f t="shared" si="254"/>
        <v>music</v>
      </c>
      <c r="R2175" t="str">
        <f t="shared" si="255"/>
        <v>rock</v>
      </c>
      <c r="S2175" s="9">
        <f t="shared" si="250"/>
        <v>41495.484293981477</v>
      </c>
      <c r="T2175" s="9">
        <f t="shared" si="251"/>
        <v>41526.957638888889</v>
      </c>
    </row>
    <row r="2176" spans="1:20" ht="43.5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48"/>
        <v>1.0297499999999999</v>
      </c>
      <c r="P2176">
        <f t="shared" si="249"/>
        <v>4059.5</v>
      </c>
      <c r="Q2176" t="str">
        <f t="shared" si="254"/>
        <v>music</v>
      </c>
      <c r="R2176" t="str">
        <f t="shared" si="255"/>
        <v>rock</v>
      </c>
      <c r="S2176" s="9">
        <f t="shared" si="250"/>
        <v>42465.334571759253</v>
      </c>
      <c r="T2176" s="9">
        <f t="shared" si="251"/>
        <v>42495.334571759253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48"/>
        <v>2.5</v>
      </c>
      <c r="P2177">
        <f t="shared" si="249"/>
        <v>1225</v>
      </c>
      <c r="Q2177" t="str">
        <f t="shared" si="254"/>
        <v>music</v>
      </c>
      <c r="R2177" t="str">
        <f t="shared" si="255"/>
        <v>rock</v>
      </c>
      <c r="S2177" s="9">
        <f t="shared" si="250"/>
        <v>42564.800763888888</v>
      </c>
      <c r="T2177" s="9">
        <f t="shared" si="251"/>
        <v>42571.800763888888</v>
      </c>
    </row>
    <row r="2178" spans="1:20" ht="29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48"/>
        <v>1.2602</v>
      </c>
      <c r="P2178">
        <f t="shared" si="249"/>
        <v>5650.5</v>
      </c>
      <c r="Q2178" t="str">
        <f t="shared" si="254"/>
        <v>music</v>
      </c>
      <c r="R2178" t="str">
        <f t="shared" si="255"/>
        <v>rock</v>
      </c>
      <c r="S2178" s="9">
        <f t="shared" si="250"/>
        <v>42096.424872685187</v>
      </c>
      <c r="T2178" s="9">
        <f t="shared" si="251"/>
        <v>42126.424872685187</v>
      </c>
    </row>
    <row r="2179" spans="1:20" ht="43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56">E2179/D2179</f>
        <v>1.0012000000000001</v>
      </c>
      <c r="P2179">
        <f t="shared" ref="P2179:P2242" si="257">AVERAGE(D2179:E2179)</f>
        <v>2501.5</v>
      </c>
      <c r="Q2179" t="str">
        <f t="shared" si="254"/>
        <v>music</v>
      </c>
      <c r="R2179" t="str">
        <f t="shared" si="255"/>
        <v>rock</v>
      </c>
      <c r="S2179" s="9">
        <f t="shared" ref="S2179:S2242" si="258">J2179/86400+25569+(-5/24)</f>
        <v>42502.042442129627</v>
      </c>
      <c r="T2179" s="9">
        <f t="shared" si="251"/>
        <v>42527.042442129627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56"/>
        <v>1.3864000000000001</v>
      </c>
      <c r="P2180">
        <f t="shared" si="257"/>
        <v>29830</v>
      </c>
      <c r="Q2180" t="str">
        <f t="shared" si="254"/>
        <v>music</v>
      </c>
      <c r="R2180" t="str">
        <f t="shared" si="255"/>
        <v>rock</v>
      </c>
      <c r="S2180" s="9">
        <f t="shared" si="258"/>
        <v>42723.428206018514</v>
      </c>
      <c r="T2180" s="9">
        <f t="shared" ref="T2180:T2243" si="259">I2180/86400+25569+(-5/24)</f>
        <v>42753.428206018514</v>
      </c>
    </row>
    <row r="2181" spans="1:20" ht="29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56"/>
        <v>1.6140000000000001</v>
      </c>
      <c r="P2181">
        <f t="shared" si="257"/>
        <v>1307</v>
      </c>
      <c r="Q2181" t="str">
        <f t="shared" si="254"/>
        <v>music</v>
      </c>
      <c r="R2181" t="str">
        <f t="shared" si="255"/>
        <v>rock</v>
      </c>
      <c r="S2181" s="9">
        <f t="shared" si="258"/>
        <v>42074.962870370371</v>
      </c>
      <c r="T2181" s="9">
        <f t="shared" si="259"/>
        <v>42104.962870370371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56"/>
        <v>1.071842</v>
      </c>
      <c r="P2182">
        <f t="shared" si="257"/>
        <v>5179.6049999999996</v>
      </c>
      <c r="Q2182" t="str">
        <f t="shared" si="254"/>
        <v>music</v>
      </c>
      <c r="R2182" t="str">
        <f t="shared" si="255"/>
        <v>rock</v>
      </c>
      <c r="S2182" s="9">
        <f t="shared" si="258"/>
        <v>42279.461435185185</v>
      </c>
      <c r="T2182" s="9">
        <f t="shared" si="259"/>
        <v>42321.503101851849</v>
      </c>
    </row>
    <row r="2183" spans="1:20" ht="43.5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56"/>
        <v>1.5309999999999999</v>
      </c>
      <c r="P2183">
        <f t="shared" si="257"/>
        <v>2531</v>
      </c>
      <c r="Q2183" t="str">
        <f>IF(N2183="games/tabletop games","games")</f>
        <v>games</v>
      </c>
      <c r="R2183" t="str">
        <f>IF(N2183="games/tabletop games","tabletop games")</f>
        <v>tabletop games</v>
      </c>
      <c r="S2183" s="9">
        <f t="shared" si="258"/>
        <v>42772.796909722216</v>
      </c>
      <c r="T2183" s="9">
        <f t="shared" si="259"/>
        <v>42786.796909722216</v>
      </c>
    </row>
    <row r="2184" spans="1:20" ht="29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56"/>
        <v>5.2416666666666663</v>
      </c>
      <c r="P2184">
        <f t="shared" si="257"/>
        <v>9362.5</v>
      </c>
      <c r="Q2184" t="str">
        <f t="shared" ref="Q2184:Q2202" si="260">IF(N2184="games/tabletop games","games")</f>
        <v>games</v>
      </c>
      <c r="R2184" t="str">
        <f t="shared" ref="R2184:R2202" si="261">IF(N2184="games/tabletop games","tabletop games")</f>
        <v>tabletop games</v>
      </c>
      <c r="S2184" s="9">
        <f t="shared" si="258"/>
        <v>41879.692418981482</v>
      </c>
      <c r="T2184" s="9">
        <f t="shared" si="259"/>
        <v>41914.692418981482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56"/>
        <v>4.8927777777777779</v>
      </c>
      <c r="P2185">
        <f t="shared" si="257"/>
        <v>5303.5</v>
      </c>
      <c r="Q2185" t="str">
        <f t="shared" si="260"/>
        <v>games</v>
      </c>
      <c r="R2185" t="str">
        <f t="shared" si="261"/>
        <v>tabletop games</v>
      </c>
      <c r="S2185" s="9">
        <f t="shared" si="258"/>
        <v>42745.157141203701</v>
      </c>
      <c r="T2185" s="9">
        <f t="shared" si="259"/>
        <v>42774.999999999993</v>
      </c>
    </row>
    <row r="2186" spans="1:20" ht="43.5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56"/>
        <v>2.8473999999999999</v>
      </c>
      <c r="P2186">
        <f t="shared" si="257"/>
        <v>19237</v>
      </c>
      <c r="Q2186" t="str">
        <f t="shared" si="260"/>
        <v>games</v>
      </c>
      <c r="R2186" t="str">
        <f t="shared" si="261"/>
        <v>tabletop games</v>
      </c>
      <c r="S2186" s="9">
        <f t="shared" si="258"/>
        <v>42380.481956018521</v>
      </c>
      <c r="T2186" s="9">
        <f t="shared" si="259"/>
        <v>42394.458333333336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56"/>
        <v>18.569700000000001</v>
      </c>
      <c r="P2187">
        <f t="shared" si="257"/>
        <v>48924.25</v>
      </c>
      <c r="Q2187" t="str">
        <f t="shared" si="260"/>
        <v>games</v>
      </c>
      <c r="R2187" t="str">
        <f t="shared" si="261"/>
        <v>tabletop games</v>
      </c>
      <c r="S2187" s="9">
        <f t="shared" si="258"/>
        <v>41319.141655092586</v>
      </c>
      <c r="T2187" s="9">
        <f t="shared" si="259"/>
        <v>41359.141655092586</v>
      </c>
    </row>
    <row r="2188" spans="1:20" ht="29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56"/>
        <v>1.0967499999999999</v>
      </c>
      <c r="P2188">
        <f t="shared" si="257"/>
        <v>20967.5</v>
      </c>
      <c r="Q2188" t="str">
        <f t="shared" si="260"/>
        <v>games</v>
      </c>
      <c r="R2188" t="str">
        <f t="shared" si="261"/>
        <v>tabletop games</v>
      </c>
      <c r="S2188" s="9">
        <f t="shared" si="258"/>
        <v>42583.406747685185</v>
      </c>
      <c r="T2188" s="9">
        <f t="shared" si="259"/>
        <v>42619.874999999993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56"/>
        <v>10.146425000000001</v>
      </c>
      <c r="P2189">
        <f t="shared" si="257"/>
        <v>111464.25</v>
      </c>
      <c r="Q2189" t="str">
        <f t="shared" si="260"/>
        <v>games</v>
      </c>
      <c r="R2189" t="str">
        <f t="shared" si="261"/>
        <v>tabletop games</v>
      </c>
      <c r="S2189" s="9">
        <f t="shared" si="258"/>
        <v>42068.000763888886</v>
      </c>
      <c r="T2189" s="9">
        <f t="shared" si="259"/>
        <v>42096.957638888889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56"/>
        <v>4.1217692027666546</v>
      </c>
      <c r="P2190">
        <f t="shared" si="257"/>
        <v>14069.5</v>
      </c>
      <c r="Q2190" t="str">
        <f t="shared" si="260"/>
        <v>games</v>
      </c>
      <c r="R2190" t="str">
        <f t="shared" si="261"/>
        <v>tabletop games</v>
      </c>
      <c r="S2190" s="9">
        <f t="shared" si="258"/>
        <v>42633.377789351849</v>
      </c>
      <c r="T2190" s="9">
        <f t="shared" si="259"/>
        <v>42668.499999999993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56"/>
        <v>5.0324999999999998</v>
      </c>
      <c r="P2191">
        <f t="shared" si="257"/>
        <v>3619.5</v>
      </c>
      <c r="Q2191" t="str">
        <f t="shared" si="260"/>
        <v>games</v>
      </c>
      <c r="R2191" t="str">
        <f t="shared" si="261"/>
        <v>tabletop games</v>
      </c>
      <c r="S2191" s="9">
        <f t="shared" si="258"/>
        <v>42467.579861111109</v>
      </c>
      <c r="T2191" s="9">
        <f t="shared" si="259"/>
        <v>42481.708333333336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56"/>
        <v>1.8461052631578947</v>
      </c>
      <c r="P2192">
        <f t="shared" si="257"/>
        <v>27038</v>
      </c>
      <c r="Q2192" t="str">
        <f t="shared" si="260"/>
        <v>games</v>
      </c>
      <c r="R2192" t="str">
        <f t="shared" si="261"/>
        <v>tabletop games</v>
      </c>
      <c r="S2192" s="9">
        <f t="shared" si="258"/>
        <v>42417.416712962957</v>
      </c>
      <c r="T2192" s="9">
        <f t="shared" si="259"/>
        <v>42452.082638888889</v>
      </c>
    </row>
    <row r="2193" spans="1:20" ht="43.5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56"/>
        <v>1.1973333333333334</v>
      </c>
      <c r="P2193">
        <f t="shared" si="257"/>
        <v>824</v>
      </c>
      <c r="Q2193" t="str">
        <f t="shared" si="260"/>
        <v>games</v>
      </c>
      <c r="R2193" t="str">
        <f t="shared" si="261"/>
        <v>tabletop games</v>
      </c>
      <c r="S2193" s="9">
        <f t="shared" si="258"/>
        <v>42768.6253125</v>
      </c>
      <c r="T2193" s="9">
        <f t="shared" si="259"/>
        <v>42780.6253125</v>
      </c>
    </row>
    <row r="2194" spans="1:20" ht="43.5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56"/>
        <v>10.812401666666668</v>
      </c>
      <c r="P2194">
        <f t="shared" si="257"/>
        <v>70874.41</v>
      </c>
      <c r="Q2194" t="str">
        <f t="shared" si="260"/>
        <v>games</v>
      </c>
      <c r="R2194" t="str">
        <f t="shared" si="261"/>
        <v>tabletop games</v>
      </c>
      <c r="S2194" s="9">
        <f t="shared" si="258"/>
        <v>42691.642870370364</v>
      </c>
      <c r="T2194" s="9">
        <f t="shared" si="259"/>
        <v>42719.749999999993</v>
      </c>
    </row>
    <row r="2195" spans="1:20" ht="43.5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56"/>
        <v>4.5237333333333334</v>
      </c>
      <c r="P2195">
        <f t="shared" si="257"/>
        <v>41428</v>
      </c>
      <c r="Q2195" t="str">
        <f t="shared" si="260"/>
        <v>games</v>
      </c>
      <c r="R2195" t="str">
        <f t="shared" si="261"/>
        <v>tabletop games</v>
      </c>
      <c r="S2195" s="9">
        <f t="shared" si="258"/>
        <v>42664.197592592587</v>
      </c>
      <c r="T2195" s="9">
        <f t="shared" si="259"/>
        <v>42694.999305555553</v>
      </c>
    </row>
    <row r="2196" spans="1:20" ht="43.5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56"/>
        <v>5.3737000000000004</v>
      </c>
      <c r="P2196">
        <f t="shared" si="257"/>
        <v>31868.5</v>
      </c>
      <c r="Q2196" t="str">
        <f t="shared" si="260"/>
        <v>games</v>
      </c>
      <c r="R2196" t="str">
        <f t="shared" si="261"/>
        <v>tabletop games</v>
      </c>
      <c r="S2196" s="9">
        <f t="shared" si="258"/>
        <v>42425.54965277778</v>
      </c>
      <c r="T2196" s="9">
        <f t="shared" si="259"/>
        <v>42455.507986111108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56"/>
        <v>1.2032608695652174</v>
      </c>
      <c r="P2197">
        <f t="shared" si="257"/>
        <v>5067.5</v>
      </c>
      <c r="Q2197" t="str">
        <f t="shared" si="260"/>
        <v>games</v>
      </c>
      <c r="R2197" t="str">
        <f t="shared" si="261"/>
        <v>tabletop games</v>
      </c>
      <c r="S2197" s="9">
        <f t="shared" si="258"/>
        <v>42197.563657407409</v>
      </c>
      <c r="T2197" s="9">
        <f t="shared" si="259"/>
        <v>42227.563657407409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56"/>
        <v>1.1383571428571428</v>
      </c>
      <c r="P2198">
        <f t="shared" si="257"/>
        <v>14968.5</v>
      </c>
      <c r="Q2198" t="str">
        <f t="shared" si="260"/>
        <v>games</v>
      </c>
      <c r="R2198" t="str">
        <f t="shared" si="261"/>
        <v>tabletop games</v>
      </c>
      <c r="S2198" s="9">
        <f t="shared" si="258"/>
        <v>42675.278958333329</v>
      </c>
      <c r="T2198" s="9">
        <f t="shared" si="259"/>
        <v>42706.083333333336</v>
      </c>
    </row>
    <row r="2199" spans="1:20" ht="29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56"/>
        <v>9.5103109999999997</v>
      </c>
      <c r="P2199">
        <f t="shared" si="257"/>
        <v>157654.66500000001</v>
      </c>
      <c r="Q2199" t="str">
        <f t="shared" si="260"/>
        <v>games</v>
      </c>
      <c r="R2199" t="str">
        <f t="shared" si="261"/>
        <v>tabletop games</v>
      </c>
      <c r="S2199" s="9">
        <f t="shared" si="258"/>
        <v>42033.37568287037</v>
      </c>
      <c r="T2199" s="9">
        <f t="shared" si="259"/>
        <v>42063.37568287037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56"/>
        <v>1.3289249999999999</v>
      </c>
      <c r="P2200">
        <f t="shared" si="257"/>
        <v>46578.5</v>
      </c>
      <c r="Q2200" t="str">
        <f t="shared" si="260"/>
        <v>games</v>
      </c>
      <c r="R2200" t="str">
        <f t="shared" si="261"/>
        <v>tabletop games</v>
      </c>
      <c r="S2200" s="9">
        <f t="shared" si="258"/>
        <v>42292.305555555555</v>
      </c>
      <c r="T2200" s="9">
        <f t="shared" si="259"/>
        <v>42322.347222222219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56"/>
        <v>1.4697777777777778</v>
      </c>
      <c r="P2201">
        <f t="shared" si="257"/>
        <v>11114</v>
      </c>
      <c r="Q2201" t="str">
        <f t="shared" si="260"/>
        <v>games</v>
      </c>
      <c r="R2201" t="str">
        <f t="shared" si="261"/>
        <v>tabletop games</v>
      </c>
      <c r="S2201" s="9">
        <f t="shared" si="258"/>
        <v>42262.208310185182</v>
      </c>
      <c r="T2201" s="9">
        <f t="shared" si="259"/>
        <v>42292.208310185182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56"/>
        <v>5.4215</v>
      </c>
      <c r="P2202">
        <f t="shared" si="257"/>
        <v>6421.5</v>
      </c>
      <c r="Q2202" t="str">
        <f t="shared" si="260"/>
        <v>games</v>
      </c>
      <c r="R2202" t="str">
        <f t="shared" si="261"/>
        <v>tabletop games</v>
      </c>
      <c r="S2202" s="9">
        <f t="shared" si="258"/>
        <v>42163.417453703696</v>
      </c>
      <c r="T2202" s="9">
        <f t="shared" si="259"/>
        <v>42190.916666666664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56"/>
        <v>3.8271818181818182</v>
      </c>
      <c r="P2203">
        <f t="shared" si="257"/>
        <v>265.495</v>
      </c>
      <c r="Q2203" t="str">
        <f>IF(N2203="music/electronic music","music")</f>
        <v>music</v>
      </c>
      <c r="R2203" t="str">
        <f>IF(N2203="music/electronic music","electronic music")</f>
        <v>electronic music</v>
      </c>
      <c r="S2203" s="9">
        <f t="shared" si="258"/>
        <v>41276.638483796291</v>
      </c>
      <c r="T2203" s="9">
        <f t="shared" si="259"/>
        <v>41290.638483796291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56"/>
        <v>7.0418124999999998</v>
      </c>
      <c r="P2204">
        <f t="shared" si="257"/>
        <v>16083.625</v>
      </c>
      <c r="Q2204" t="str">
        <f t="shared" ref="Q2204:Q2222" si="262">IF(N2204="music/electronic music","music")</f>
        <v>music</v>
      </c>
      <c r="R2204" t="str">
        <f t="shared" ref="R2204:R2222" si="263">IF(N2204="music/electronic music","electronic music")</f>
        <v>electronic music</v>
      </c>
      <c r="S2204" s="9">
        <f t="shared" si="258"/>
        <v>41184.640833333331</v>
      </c>
      <c r="T2204" s="9">
        <f t="shared" si="259"/>
        <v>41214.640833333331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56"/>
        <v>1.0954999999999999</v>
      </c>
      <c r="P2205">
        <f t="shared" si="257"/>
        <v>2095.5</v>
      </c>
      <c r="Q2205" t="str">
        <f t="shared" si="262"/>
        <v>music</v>
      </c>
      <c r="R2205" t="str">
        <f t="shared" si="263"/>
        <v>electronic music</v>
      </c>
      <c r="S2205" s="9">
        <f t="shared" si="258"/>
        <v>42241.651412037034</v>
      </c>
      <c r="T2205" s="9">
        <f t="shared" si="259"/>
        <v>42271.651412037034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56"/>
        <v>1.3286666666666667</v>
      </c>
      <c r="P2206">
        <f t="shared" si="257"/>
        <v>1746.5</v>
      </c>
      <c r="Q2206" t="str">
        <f t="shared" si="262"/>
        <v>music</v>
      </c>
      <c r="R2206" t="str">
        <f t="shared" si="263"/>
        <v>electronic music</v>
      </c>
      <c r="S2206" s="9">
        <f t="shared" si="258"/>
        <v>41312.103229166663</v>
      </c>
      <c r="T2206" s="9">
        <f t="shared" si="259"/>
        <v>41342.103229166663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56"/>
        <v>1.52</v>
      </c>
      <c r="P2207">
        <f t="shared" si="257"/>
        <v>945</v>
      </c>
      <c r="Q2207" t="str">
        <f t="shared" si="262"/>
        <v>music</v>
      </c>
      <c r="R2207" t="str">
        <f t="shared" si="263"/>
        <v>electronic music</v>
      </c>
      <c r="S2207" s="9">
        <f t="shared" si="258"/>
        <v>41031.613298611112</v>
      </c>
      <c r="T2207" s="9">
        <f t="shared" si="259"/>
        <v>41061.613298611112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56"/>
        <v>1.0272727272727273</v>
      </c>
      <c r="P2208">
        <f t="shared" si="257"/>
        <v>1115</v>
      </c>
      <c r="Q2208" t="str">
        <f t="shared" si="262"/>
        <v>music</v>
      </c>
      <c r="R2208" t="str">
        <f t="shared" si="263"/>
        <v>electronic music</v>
      </c>
      <c r="S2208" s="9">
        <f t="shared" si="258"/>
        <v>40997.048888888887</v>
      </c>
      <c r="T2208" s="9">
        <f t="shared" si="259"/>
        <v>41015.048888888887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56"/>
        <v>1</v>
      </c>
      <c r="P2209">
        <f t="shared" si="257"/>
        <v>2000</v>
      </c>
      <c r="Q2209" t="str">
        <f t="shared" si="262"/>
        <v>music</v>
      </c>
      <c r="R2209" t="str">
        <f t="shared" si="263"/>
        <v>electronic music</v>
      </c>
      <c r="S2209" s="9">
        <f t="shared" si="258"/>
        <v>41563.985798611109</v>
      </c>
      <c r="T2209" s="9">
        <f t="shared" si="259"/>
        <v>41594.027465277773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56"/>
        <v>1.016</v>
      </c>
      <c r="P2210">
        <f t="shared" si="257"/>
        <v>1008</v>
      </c>
      <c r="Q2210" t="str">
        <f t="shared" si="262"/>
        <v>music</v>
      </c>
      <c r="R2210" t="str">
        <f t="shared" si="263"/>
        <v>electronic music</v>
      </c>
      <c r="S2210" s="9">
        <f t="shared" si="258"/>
        <v>40946.673912037033</v>
      </c>
      <c r="T2210" s="9">
        <f t="shared" si="259"/>
        <v>41005.958333333328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56"/>
        <v>1.508</v>
      </c>
      <c r="P2211">
        <f t="shared" si="257"/>
        <v>627</v>
      </c>
      <c r="Q2211" t="str">
        <f t="shared" si="262"/>
        <v>music</v>
      </c>
      <c r="R2211" t="str">
        <f t="shared" si="263"/>
        <v>electronic music</v>
      </c>
      <c r="S2211" s="9">
        <f t="shared" si="258"/>
        <v>41732.27134259259</v>
      </c>
      <c r="T2211" s="9">
        <f t="shared" si="259"/>
        <v>41743.75</v>
      </c>
    </row>
    <row r="2212" spans="1:20" ht="43.5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56"/>
        <v>1.11425</v>
      </c>
      <c r="P2212">
        <f t="shared" si="257"/>
        <v>4228.5</v>
      </c>
      <c r="Q2212" t="str">
        <f t="shared" si="262"/>
        <v>music</v>
      </c>
      <c r="R2212" t="str">
        <f t="shared" si="263"/>
        <v>electronic music</v>
      </c>
      <c r="S2212" s="9">
        <f t="shared" si="258"/>
        <v>40955.857754629629</v>
      </c>
      <c r="T2212" s="9">
        <f t="shared" si="259"/>
        <v>41013.525000000001</v>
      </c>
    </row>
    <row r="2213" spans="1:20" ht="43.5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56"/>
        <v>1.956</v>
      </c>
      <c r="P2213">
        <f t="shared" si="257"/>
        <v>3695</v>
      </c>
      <c r="Q2213" t="str">
        <f t="shared" si="262"/>
        <v>music</v>
      </c>
      <c r="R2213" t="str">
        <f t="shared" si="263"/>
        <v>electronic music</v>
      </c>
      <c r="S2213" s="9">
        <f t="shared" si="258"/>
        <v>41716.576678240737</v>
      </c>
      <c r="T2213" s="9">
        <f t="shared" si="259"/>
        <v>41739.082638888889</v>
      </c>
    </row>
    <row r="2214" spans="1:20" ht="43.5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56"/>
        <v>1.1438333333333333</v>
      </c>
      <c r="P2214">
        <f t="shared" si="257"/>
        <v>6431.5</v>
      </c>
      <c r="Q2214" t="str">
        <f t="shared" si="262"/>
        <v>music</v>
      </c>
      <c r="R2214" t="str">
        <f t="shared" si="263"/>
        <v>electronic music</v>
      </c>
      <c r="S2214" s="9">
        <f t="shared" si="258"/>
        <v>41548.539085648146</v>
      </c>
      <c r="T2214" s="9">
        <f t="shared" si="259"/>
        <v>41581.833333333328</v>
      </c>
    </row>
    <row r="2215" spans="1:20" ht="43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56"/>
        <v>2</v>
      </c>
      <c r="P2215">
        <f t="shared" si="257"/>
        <v>7.5</v>
      </c>
      <c r="Q2215" t="str">
        <f t="shared" si="262"/>
        <v>music</v>
      </c>
      <c r="R2215" t="str">
        <f t="shared" si="263"/>
        <v>electronic music</v>
      </c>
      <c r="S2215" s="9">
        <f t="shared" si="258"/>
        <v>42109.617812499993</v>
      </c>
      <c r="T2215" s="9">
        <f t="shared" si="259"/>
        <v>42139.617812499993</v>
      </c>
    </row>
    <row r="2216" spans="1:20" ht="29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56"/>
        <v>2.9250166666666666</v>
      </c>
      <c r="P2216">
        <f t="shared" si="257"/>
        <v>1177.5050000000001</v>
      </c>
      <c r="Q2216" t="str">
        <f t="shared" si="262"/>
        <v>music</v>
      </c>
      <c r="R2216" t="str">
        <f t="shared" si="263"/>
        <v>electronic music</v>
      </c>
      <c r="S2216" s="9">
        <f t="shared" si="258"/>
        <v>41646.58388888889</v>
      </c>
      <c r="T2216" s="9">
        <f t="shared" si="259"/>
        <v>41676.58388888889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56"/>
        <v>1.5636363636363637</v>
      </c>
      <c r="P2217">
        <f t="shared" si="257"/>
        <v>705</v>
      </c>
      <c r="Q2217" t="str">
        <f t="shared" si="262"/>
        <v>music</v>
      </c>
      <c r="R2217" t="str">
        <f t="shared" si="263"/>
        <v>electronic music</v>
      </c>
      <c r="S2217" s="9">
        <f t="shared" si="258"/>
        <v>40958.508935185186</v>
      </c>
      <c r="T2217" s="9">
        <f t="shared" si="259"/>
        <v>40981.082638888889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56"/>
        <v>1.0566666666666666</v>
      </c>
      <c r="P2218">
        <f t="shared" si="257"/>
        <v>308.5</v>
      </c>
      <c r="Q2218" t="str">
        <f t="shared" si="262"/>
        <v>music</v>
      </c>
      <c r="R2218" t="str">
        <f t="shared" si="263"/>
        <v>electronic music</v>
      </c>
      <c r="S2218" s="9">
        <f t="shared" si="258"/>
        <v>42194.543344907404</v>
      </c>
      <c r="T2218" s="9">
        <f t="shared" si="259"/>
        <v>42208.543344907404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56"/>
        <v>1.0119047619047619</v>
      </c>
      <c r="P2219">
        <f t="shared" si="257"/>
        <v>422.5</v>
      </c>
      <c r="Q2219" t="str">
        <f t="shared" si="262"/>
        <v>music</v>
      </c>
      <c r="R2219" t="str">
        <f t="shared" si="263"/>
        <v>electronic music</v>
      </c>
      <c r="S2219" s="9">
        <f t="shared" si="258"/>
        <v>42299.568437499998</v>
      </c>
      <c r="T2219" s="9">
        <f t="shared" si="259"/>
        <v>42310.124999999993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56"/>
        <v>1.2283299999999999</v>
      </c>
      <c r="P2220">
        <f t="shared" si="257"/>
        <v>2228.33</v>
      </c>
      <c r="Q2220" t="str">
        <f t="shared" si="262"/>
        <v>music</v>
      </c>
      <c r="R2220" t="str">
        <f t="shared" si="263"/>
        <v>electronic music</v>
      </c>
      <c r="S2220" s="9">
        <f t="shared" si="258"/>
        <v>41127.603969907403</v>
      </c>
      <c r="T2220" s="9">
        <f t="shared" si="259"/>
        <v>41149.791666666664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56"/>
        <v>1.0149999999999999</v>
      </c>
      <c r="P2221">
        <f t="shared" si="257"/>
        <v>1007.5</v>
      </c>
      <c r="Q2221" t="str">
        <f t="shared" si="262"/>
        <v>music</v>
      </c>
      <c r="R2221" t="str">
        <f t="shared" si="263"/>
        <v>electronic music</v>
      </c>
      <c r="S2221" s="9">
        <f t="shared" si="258"/>
        <v>42205.510555555556</v>
      </c>
      <c r="T2221" s="9">
        <f t="shared" si="259"/>
        <v>42235.510555555556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56"/>
        <v>1.0114285714285713</v>
      </c>
      <c r="P2222">
        <f t="shared" si="257"/>
        <v>3520</v>
      </c>
      <c r="Q2222" t="str">
        <f t="shared" si="262"/>
        <v>music</v>
      </c>
      <c r="R2222" t="str">
        <f t="shared" si="263"/>
        <v>electronic music</v>
      </c>
      <c r="S2222" s="9">
        <f t="shared" si="258"/>
        <v>41451.852268518516</v>
      </c>
      <c r="T2222" s="9">
        <f t="shared" si="259"/>
        <v>41481.852268518516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56"/>
        <v>1.0811999999999999</v>
      </c>
      <c r="P2223">
        <f t="shared" si="257"/>
        <v>7804.5</v>
      </c>
      <c r="Q2223" t="str">
        <f>IF(N2223="games/tabletop games","games")</f>
        <v>games</v>
      </c>
      <c r="R2223" t="str">
        <f>IF(N2223="games/tabletop games","tabletop games")</f>
        <v>tabletop games</v>
      </c>
      <c r="S2223" s="9">
        <f t="shared" si="258"/>
        <v>42452.458437499998</v>
      </c>
      <c r="T2223" s="9">
        <f t="shared" si="259"/>
        <v>42482.791666666664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56"/>
        <v>1.6259999999999999</v>
      </c>
      <c r="P2224">
        <f t="shared" si="257"/>
        <v>656.5</v>
      </c>
      <c r="Q2224" t="str">
        <f t="shared" ref="Q2224:Q2282" si="264">IF(N2224="games/tabletop games","games")</f>
        <v>games</v>
      </c>
      <c r="R2224" t="str">
        <f t="shared" ref="R2224:R2282" si="265">IF(N2224="games/tabletop games","tabletop games")</f>
        <v>tabletop games</v>
      </c>
      <c r="S2224" s="9">
        <f t="shared" si="258"/>
        <v>40906.579247685186</v>
      </c>
      <c r="T2224" s="9">
        <f t="shared" si="259"/>
        <v>40936.579247685186</v>
      </c>
    </row>
    <row r="2225" spans="1:20" ht="43.5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56"/>
        <v>1.0580000000000001</v>
      </c>
      <c r="P2225">
        <f t="shared" si="257"/>
        <v>20065.5</v>
      </c>
      <c r="Q2225" t="str">
        <f t="shared" si="264"/>
        <v>games</v>
      </c>
      <c r="R2225" t="str">
        <f t="shared" si="265"/>
        <v>tabletop games</v>
      </c>
      <c r="S2225" s="9">
        <f t="shared" si="258"/>
        <v>42152.432500000003</v>
      </c>
      <c r="T2225" s="9">
        <f t="shared" si="259"/>
        <v>42182.432500000003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56"/>
        <v>2.4315000000000002</v>
      </c>
      <c r="P2226">
        <f t="shared" si="257"/>
        <v>17157.5</v>
      </c>
      <c r="Q2226" t="str">
        <f t="shared" si="264"/>
        <v>games</v>
      </c>
      <c r="R2226" t="str">
        <f t="shared" si="265"/>
        <v>tabletop games</v>
      </c>
      <c r="S2226" s="9">
        <f t="shared" si="258"/>
        <v>42644.459201388883</v>
      </c>
      <c r="T2226" s="9">
        <f t="shared" si="259"/>
        <v>42672.583333333336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56"/>
        <v>9.4483338095238096</v>
      </c>
      <c r="P2227">
        <f t="shared" si="257"/>
        <v>109707.505</v>
      </c>
      <c r="Q2227" t="str">
        <f t="shared" si="264"/>
        <v>games</v>
      </c>
      <c r="R2227" t="str">
        <f t="shared" si="265"/>
        <v>tabletop games</v>
      </c>
      <c r="S2227" s="9">
        <f t="shared" si="258"/>
        <v>41873.583506944444</v>
      </c>
      <c r="T2227" s="9">
        <f t="shared" si="259"/>
        <v>41903.583506944444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56"/>
        <v>1.0846283333333333</v>
      </c>
      <c r="P2228">
        <f t="shared" si="257"/>
        <v>18761.654999999999</v>
      </c>
      <c r="Q2228" t="str">
        <f t="shared" si="264"/>
        <v>games</v>
      </c>
      <c r="R2228" t="str">
        <f t="shared" si="265"/>
        <v>tabletop games</v>
      </c>
      <c r="S2228" s="9">
        <f t="shared" si="258"/>
        <v>42381.590532407405</v>
      </c>
      <c r="T2228" s="9">
        <f t="shared" si="259"/>
        <v>42411.999305555553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56"/>
        <v>1.5737692307692308</v>
      </c>
      <c r="P2229">
        <f t="shared" si="257"/>
        <v>16729.5</v>
      </c>
      <c r="Q2229" t="str">
        <f t="shared" si="264"/>
        <v>games</v>
      </c>
      <c r="R2229" t="str">
        <f t="shared" si="265"/>
        <v>tabletop games</v>
      </c>
      <c r="S2229" s="9">
        <f t="shared" si="258"/>
        <v>41561.599016203698</v>
      </c>
      <c r="T2229" s="9">
        <f t="shared" si="259"/>
        <v>41591.640682870369</v>
      </c>
    </row>
    <row r="2230" spans="1:20" ht="43.5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56"/>
        <v>11.744899999999999</v>
      </c>
      <c r="P2230">
        <f t="shared" si="257"/>
        <v>6372.45</v>
      </c>
      <c r="Q2230" t="str">
        <f t="shared" si="264"/>
        <v>games</v>
      </c>
      <c r="R2230" t="str">
        <f t="shared" si="265"/>
        <v>tabletop games</v>
      </c>
      <c r="S2230" s="9">
        <f t="shared" si="258"/>
        <v>42202.069861111107</v>
      </c>
      <c r="T2230" s="9">
        <f t="shared" si="259"/>
        <v>42232.069861111107</v>
      </c>
    </row>
    <row r="2231" spans="1:20" ht="43.5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56"/>
        <v>1.7104755366949576</v>
      </c>
      <c r="P2231">
        <f t="shared" si="257"/>
        <v>10858.165000000001</v>
      </c>
      <c r="Q2231" t="str">
        <f t="shared" si="264"/>
        <v>games</v>
      </c>
      <c r="R2231" t="str">
        <f t="shared" si="265"/>
        <v>tabletop games</v>
      </c>
      <c r="S2231" s="9">
        <f t="shared" si="258"/>
        <v>41484.455914351849</v>
      </c>
      <c r="T2231" s="9">
        <f t="shared" si="259"/>
        <v>41519.958333333328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56"/>
        <v>1.2595294117647058</v>
      </c>
      <c r="P2232">
        <f t="shared" si="257"/>
        <v>9603</v>
      </c>
      <c r="Q2232" t="str">
        <f t="shared" si="264"/>
        <v>games</v>
      </c>
      <c r="R2232" t="str">
        <f t="shared" si="265"/>
        <v>tabletop games</v>
      </c>
      <c r="S2232" s="9">
        <f t="shared" si="258"/>
        <v>41724.672766203701</v>
      </c>
      <c r="T2232" s="9">
        <f t="shared" si="259"/>
        <v>41754.672766203701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56"/>
        <v>12.121296000000001</v>
      </c>
      <c r="P2233">
        <f t="shared" si="257"/>
        <v>16401.620000000003</v>
      </c>
      <c r="Q2233" t="str">
        <f t="shared" si="264"/>
        <v>games</v>
      </c>
      <c r="R2233" t="str">
        <f t="shared" si="265"/>
        <v>tabletop games</v>
      </c>
      <c r="S2233" s="9">
        <f t="shared" si="258"/>
        <v>41423.702557870369</v>
      </c>
      <c r="T2233" s="9">
        <f t="shared" si="259"/>
        <v>41450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56"/>
        <v>4.9580000000000002</v>
      </c>
      <c r="P2234">
        <f t="shared" si="257"/>
        <v>14895</v>
      </c>
      <c r="Q2234" t="str">
        <f t="shared" si="264"/>
        <v>games</v>
      </c>
      <c r="R2234" t="str">
        <f t="shared" si="265"/>
        <v>tabletop games</v>
      </c>
      <c r="S2234" s="9">
        <f t="shared" si="258"/>
        <v>41806.585740740738</v>
      </c>
      <c r="T2234" s="9">
        <f t="shared" si="259"/>
        <v>41838.916666666664</v>
      </c>
    </row>
    <row r="2235" spans="1:20" ht="29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56"/>
        <v>3.3203999999999998</v>
      </c>
      <c r="P2235">
        <f t="shared" si="257"/>
        <v>5400.5</v>
      </c>
      <c r="Q2235" t="str">
        <f t="shared" si="264"/>
        <v>games</v>
      </c>
      <c r="R2235" t="str">
        <f t="shared" si="265"/>
        <v>tabletop games</v>
      </c>
      <c r="S2235" s="9">
        <f t="shared" si="258"/>
        <v>42331.170590277776</v>
      </c>
      <c r="T2235" s="9">
        <f t="shared" si="259"/>
        <v>42351.791666666664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56"/>
        <v>11.65</v>
      </c>
      <c r="P2236">
        <f t="shared" si="257"/>
        <v>632.5</v>
      </c>
      <c r="Q2236" t="str">
        <f t="shared" si="264"/>
        <v>games</v>
      </c>
      <c r="R2236" t="str">
        <f t="shared" si="265"/>
        <v>tabletop games</v>
      </c>
      <c r="S2236" s="9">
        <f t="shared" si="258"/>
        <v>42710.616284722222</v>
      </c>
      <c r="T2236" s="9">
        <f t="shared" si="259"/>
        <v>42740.616284722222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56"/>
        <v>1.5331538461538461</v>
      </c>
      <c r="P2237">
        <f t="shared" si="257"/>
        <v>16465.5</v>
      </c>
      <c r="Q2237" t="str">
        <f t="shared" si="264"/>
        <v>games</v>
      </c>
      <c r="R2237" t="str">
        <f t="shared" si="265"/>
        <v>tabletop games</v>
      </c>
      <c r="S2237" s="9">
        <f t="shared" si="258"/>
        <v>42061.813784722217</v>
      </c>
      <c r="T2237" s="9">
        <f t="shared" si="259"/>
        <v>42091.772118055553</v>
      </c>
    </row>
    <row r="2238" spans="1:20" ht="29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56"/>
        <v>5.3710714285714287</v>
      </c>
      <c r="P2238">
        <f t="shared" si="257"/>
        <v>8919.5</v>
      </c>
      <c r="Q2238" t="str">
        <f t="shared" si="264"/>
        <v>games</v>
      </c>
      <c r="R2238" t="str">
        <f t="shared" si="265"/>
        <v>tabletop games</v>
      </c>
      <c r="S2238" s="9">
        <f t="shared" si="258"/>
        <v>42371.408831018511</v>
      </c>
      <c r="T2238" s="9">
        <f t="shared" si="259"/>
        <v>42401.408831018511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56"/>
        <v>3.5292777777777777</v>
      </c>
      <c r="P2239">
        <f t="shared" si="257"/>
        <v>40763.5</v>
      </c>
      <c r="Q2239" t="str">
        <f t="shared" si="264"/>
        <v>games</v>
      </c>
      <c r="R2239" t="str">
        <f t="shared" si="265"/>
        <v>tabletop games</v>
      </c>
      <c r="S2239" s="9">
        <f t="shared" si="258"/>
        <v>41914.794942129629</v>
      </c>
      <c r="T2239" s="9">
        <f t="shared" si="259"/>
        <v>41955.124305555553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56"/>
        <v>1.3740000000000001</v>
      </c>
      <c r="P2240">
        <f t="shared" si="257"/>
        <v>4748</v>
      </c>
      <c r="Q2240" t="str">
        <f t="shared" si="264"/>
        <v>games</v>
      </c>
      <c r="R2240" t="str">
        <f t="shared" si="265"/>
        <v>tabletop games</v>
      </c>
      <c r="S2240" s="9">
        <f t="shared" si="258"/>
        <v>42774.41337962963</v>
      </c>
      <c r="T2240" s="9">
        <f t="shared" si="259"/>
        <v>42804.41337962963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56"/>
        <v>1.2802667999999999</v>
      </c>
      <c r="P2241">
        <f t="shared" si="257"/>
        <v>28503.334999999999</v>
      </c>
      <c r="Q2241" t="str">
        <f t="shared" si="264"/>
        <v>games</v>
      </c>
      <c r="R2241" t="str">
        <f t="shared" si="265"/>
        <v>tabletop games</v>
      </c>
      <c r="S2241" s="9">
        <f t="shared" si="258"/>
        <v>41572.750162037039</v>
      </c>
      <c r="T2241" s="9">
        <f t="shared" si="259"/>
        <v>41608.959722222222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56"/>
        <v>2.7067999999999999</v>
      </c>
      <c r="P2242">
        <f t="shared" si="257"/>
        <v>9267</v>
      </c>
      <c r="Q2242" t="str">
        <f t="shared" si="264"/>
        <v>games</v>
      </c>
      <c r="R2242" t="str">
        <f t="shared" si="265"/>
        <v>tabletop games</v>
      </c>
      <c r="S2242" s="9">
        <f t="shared" si="258"/>
        <v>42452.617407407401</v>
      </c>
      <c r="T2242" s="9">
        <f t="shared" si="259"/>
        <v>42482.617407407401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66">E2243/D2243</f>
        <v>8.0640000000000001</v>
      </c>
      <c r="P2243">
        <f t="shared" ref="P2243:P2306" si="267">AVERAGE(D2243:E2243)</f>
        <v>4532</v>
      </c>
      <c r="Q2243" t="str">
        <f t="shared" si="264"/>
        <v>games</v>
      </c>
      <c r="R2243" t="str">
        <f t="shared" si="265"/>
        <v>tabletop games</v>
      </c>
      <c r="S2243" s="9">
        <f t="shared" ref="S2243:S2306" si="268">J2243/86400+25569+(-5/24)</f>
        <v>42766.619212962956</v>
      </c>
      <c r="T2243" s="9">
        <f t="shared" si="259"/>
        <v>42796.619212962956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66"/>
        <v>13.600976000000001</v>
      </c>
      <c r="P2244">
        <f t="shared" si="267"/>
        <v>73004.88</v>
      </c>
      <c r="Q2244" t="str">
        <f t="shared" si="264"/>
        <v>games</v>
      </c>
      <c r="R2244" t="str">
        <f t="shared" si="265"/>
        <v>tabletop games</v>
      </c>
      <c r="S2244" s="9">
        <f t="shared" si="268"/>
        <v>41569.367280092592</v>
      </c>
      <c r="T2244" s="9">
        <f t="shared" ref="T2244:T2307" si="269">I2244/86400+25569+(-5/24)</f>
        <v>41604.918055555558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66"/>
        <v>9302.5</v>
      </c>
      <c r="P2245">
        <f t="shared" si="267"/>
        <v>4651.75</v>
      </c>
      <c r="Q2245" t="str">
        <f t="shared" si="264"/>
        <v>games</v>
      </c>
      <c r="R2245" t="str">
        <f t="shared" si="265"/>
        <v>tabletop games</v>
      </c>
      <c r="S2245" s="9">
        <f t="shared" si="268"/>
        <v>42800.542708333327</v>
      </c>
      <c r="T2245" s="9">
        <f t="shared" si="269"/>
        <v>42806.916666666664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66"/>
        <v>3.7702</v>
      </c>
      <c r="P2246">
        <f t="shared" si="267"/>
        <v>11925.5</v>
      </c>
      <c r="Q2246" t="str">
        <f t="shared" si="264"/>
        <v>games</v>
      </c>
      <c r="R2246" t="str">
        <f t="shared" si="265"/>
        <v>tabletop games</v>
      </c>
      <c r="S2246" s="9">
        <f t="shared" si="268"/>
        <v>42647.610486111109</v>
      </c>
      <c r="T2246" s="9">
        <f t="shared" si="269"/>
        <v>42659.645833333336</v>
      </c>
    </row>
    <row r="2247" spans="1:20" ht="29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66"/>
        <v>26.47025</v>
      </c>
      <c r="P2247">
        <f t="shared" si="267"/>
        <v>54940.5</v>
      </c>
      <c r="Q2247" t="str">
        <f t="shared" si="264"/>
        <v>games</v>
      </c>
      <c r="R2247" t="str">
        <f t="shared" si="265"/>
        <v>tabletop games</v>
      </c>
      <c r="S2247" s="9">
        <f t="shared" si="268"/>
        <v>41660.500196759254</v>
      </c>
      <c r="T2247" s="9">
        <f t="shared" si="269"/>
        <v>41691.541666666664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66"/>
        <v>1.0012000000000001</v>
      </c>
      <c r="P2248">
        <f t="shared" si="267"/>
        <v>2501.5</v>
      </c>
      <c r="Q2248" t="str">
        <f t="shared" si="264"/>
        <v>games</v>
      </c>
      <c r="R2248" t="str">
        <f t="shared" si="265"/>
        <v>tabletop games</v>
      </c>
      <c r="S2248" s="9">
        <f t="shared" si="268"/>
        <v>42221.583449074074</v>
      </c>
      <c r="T2248" s="9">
        <f t="shared" si="269"/>
        <v>42251.583449074074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66"/>
        <v>1.0445405405405406</v>
      </c>
      <c r="P2249">
        <f t="shared" si="267"/>
        <v>18912</v>
      </c>
      <c r="Q2249" t="str">
        <f t="shared" si="264"/>
        <v>games</v>
      </c>
      <c r="R2249" t="str">
        <f t="shared" si="265"/>
        <v>tabletop games</v>
      </c>
      <c r="S2249" s="9">
        <f t="shared" si="268"/>
        <v>42200.457928240743</v>
      </c>
      <c r="T2249" s="9">
        <f t="shared" si="269"/>
        <v>42214.457928240743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66"/>
        <v>1.0721428571428571</v>
      </c>
      <c r="P2250">
        <f t="shared" si="267"/>
        <v>7252.5</v>
      </c>
      <c r="Q2250" t="str">
        <f t="shared" si="264"/>
        <v>games</v>
      </c>
      <c r="R2250" t="str">
        <f t="shared" si="265"/>
        <v>tabletop games</v>
      </c>
      <c r="S2250" s="9">
        <f t="shared" si="268"/>
        <v>42688.667569444442</v>
      </c>
      <c r="T2250" s="9">
        <f t="shared" si="269"/>
        <v>42718.667569444442</v>
      </c>
    </row>
    <row r="2251" spans="1:20" ht="29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66"/>
        <v>1.6877142857142857</v>
      </c>
      <c r="P2251">
        <f t="shared" si="267"/>
        <v>4703.5</v>
      </c>
      <c r="Q2251" t="str">
        <f t="shared" si="264"/>
        <v>games</v>
      </c>
      <c r="R2251" t="str">
        <f t="shared" si="265"/>
        <v>tabletop games</v>
      </c>
      <c r="S2251" s="9">
        <f t="shared" si="268"/>
        <v>41336.49496527778</v>
      </c>
      <c r="T2251" s="9">
        <f t="shared" si="269"/>
        <v>41366.453298611108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66"/>
        <v>9.7511200000000002</v>
      </c>
      <c r="P2252">
        <f t="shared" si="267"/>
        <v>134389</v>
      </c>
      <c r="Q2252" t="str">
        <f t="shared" si="264"/>
        <v>games</v>
      </c>
      <c r="R2252" t="str">
        <f t="shared" si="265"/>
        <v>tabletop games</v>
      </c>
      <c r="S2252" s="9">
        <f t="shared" si="268"/>
        <v>42676.7971412037</v>
      </c>
      <c r="T2252" s="9">
        <f t="shared" si="269"/>
        <v>42706.838807870365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66"/>
        <v>1.3444929411764706</v>
      </c>
      <c r="P2253">
        <f t="shared" si="267"/>
        <v>9964.0950000000012</v>
      </c>
      <c r="Q2253" t="str">
        <f t="shared" si="264"/>
        <v>games</v>
      </c>
      <c r="R2253" t="str">
        <f t="shared" si="265"/>
        <v>tabletop games</v>
      </c>
      <c r="S2253" s="9">
        <f t="shared" si="268"/>
        <v>41846.137465277774</v>
      </c>
      <c r="T2253" s="9">
        <f t="shared" si="269"/>
        <v>41867.137465277774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66"/>
        <v>2.722777777777778</v>
      </c>
      <c r="P2254">
        <f t="shared" si="267"/>
        <v>16752.5</v>
      </c>
      <c r="Q2254" t="str">
        <f t="shared" si="264"/>
        <v>games</v>
      </c>
      <c r="R2254" t="str">
        <f t="shared" si="265"/>
        <v>tabletop games</v>
      </c>
      <c r="S2254" s="9">
        <f t="shared" si="268"/>
        <v>42573.119652777772</v>
      </c>
      <c r="T2254" s="9">
        <f t="shared" si="269"/>
        <v>42588.119652777772</v>
      </c>
    </row>
    <row r="2255" spans="1:20" ht="43.5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66"/>
        <v>1.1268750000000001</v>
      </c>
      <c r="P2255">
        <f t="shared" si="267"/>
        <v>8507.5</v>
      </c>
      <c r="Q2255" t="str">
        <f t="shared" si="264"/>
        <v>games</v>
      </c>
      <c r="R2255" t="str">
        <f t="shared" si="265"/>
        <v>tabletop games</v>
      </c>
      <c r="S2255" s="9">
        <f t="shared" si="268"/>
        <v>42296.422997685186</v>
      </c>
      <c r="T2255" s="9">
        <f t="shared" si="269"/>
        <v>42326.46466435185</v>
      </c>
    </row>
    <row r="2256" spans="1:20" ht="29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66"/>
        <v>4.5979999999999999</v>
      </c>
      <c r="P2256">
        <f t="shared" si="267"/>
        <v>1399.5</v>
      </c>
      <c r="Q2256" t="str">
        <f t="shared" si="264"/>
        <v>games</v>
      </c>
      <c r="R2256" t="str">
        <f t="shared" si="265"/>
        <v>tabletop games</v>
      </c>
      <c r="S2256" s="9">
        <f t="shared" si="268"/>
        <v>42752.439444444441</v>
      </c>
      <c r="T2256" s="9">
        <f t="shared" si="269"/>
        <v>42759.439444444441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66"/>
        <v>2.8665822784810127</v>
      </c>
      <c r="P2257">
        <f t="shared" si="267"/>
        <v>7636.5</v>
      </c>
      <c r="Q2257" t="str">
        <f t="shared" si="264"/>
        <v>games</v>
      </c>
      <c r="R2257" t="str">
        <f t="shared" si="265"/>
        <v>tabletop games</v>
      </c>
      <c r="S2257" s="9">
        <f t="shared" si="268"/>
        <v>42467.743645833332</v>
      </c>
      <c r="T2257" s="9">
        <f t="shared" si="269"/>
        <v>42497.743645833332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66"/>
        <v>2.2270833333333333</v>
      </c>
      <c r="P2258">
        <f t="shared" si="267"/>
        <v>774.5</v>
      </c>
      <c r="Q2258" t="str">
        <f t="shared" si="264"/>
        <v>games</v>
      </c>
      <c r="R2258" t="str">
        <f t="shared" si="265"/>
        <v>tabletop games</v>
      </c>
      <c r="S2258" s="9">
        <f t="shared" si="268"/>
        <v>42682.243587962956</v>
      </c>
      <c r="T2258" s="9">
        <f t="shared" si="269"/>
        <v>42696.243587962956</v>
      </c>
    </row>
    <row r="2259" spans="1:20" ht="43.5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66"/>
        <v>6.3613999999999997</v>
      </c>
      <c r="P2259">
        <f t="shared" si="267"/>
        <v>9201.75</v>
      </c>
      <c r="Q2259" t="str">
        <f t="shared" si="264"/>
        <v>games</v>
      </c>
      <c r="R2259" t="str">
        <f t="shared" si="265"/>
        <v>tabletop games</v>
      </c>
      <c r="S2259" s="9">
        <f t="shared" si="268"/>
        <v>42505.728344907409</v>
      </c>
      <c r="T2259" s="9">
        <f t="shared" si="269"/>
        <v>42540.749999999993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66"/>
        <v>1.4650000000000001</v>
      </c>
      <c r="P2260">
        <f t="shared" si="267"/>
        <v>2711.5</v>
      </c>
      <c r="Q2260" t="str">
        <f t="shared" si="264"/>
        <v>games</v>
      </c>
      <c r="R2260" t="str">
        <f t="shared" si="265"/>
        <v>tabletop games</v>
      </c>
      <c r="S2260" s="9">
        <f t="shared" si="268"/>
        <v>42136.542673611104</v>
      </c>
      <c r="T2260" s="9">
        <f t="shared" si="269"/>
        <v>42166.542673611104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66"/>
        <v>18.670999999999999</v>
      </c>
      <c r="P2261">
        <f t="shared" si="267"/>
        <v>9835.5</v>
      </c>
      <c r="Q2261" t="str">
        <f t="shared" si="264"/>
        <v>games</v>
      </c>
      <c r="R2261" t="str">
        <f t="shared" si="265"/>
        <v>tabletop games</v>
      </c>
      <c r="S2261" s="9">
        <f t="shared" si="268"/>
        <v>42702.59648148148</v>
      </c>
      <c r="T2261" s="9">
        <f t="shared" si="269"/>
        <v>42712.59648148148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66"/>
        <v>3.2692000000000001</v>
      </c>
      <c r="P2262">
        <f t="shared" si="267"/>
        <v>5336.5</v>
      </c>
      <c r="Q2262" t="str">
        <f t="shared" si="264"/>
        <v>games</v>
      </c>
      <c r="R2262" t="str">
        <f t="shared" si="265"/>
        <v>tabletop games</v>
      </c>
      <c r="S2262" s="9">
        <f t="shared" si="268"/>
        <v>41694.808449074073</v>
      </c>
      <c r="T2262" s="9">
        <f t="shared" si="269"/>
        <v>41724.766782407409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66"/>
        <v>7.7949999999999999</v>
      </c>
      <c r="P2263">
        <f t="shared" si="267"/>
        <v>4397.5</v>
      </c>
      <c r="Q2263" t="str">
        <f t="shared" si="264"/>
        <v>games</v>
      </c>
      <c r="R2263" t="str">
        <f t="shared" si="265"/>
        <v>tabletop games</v>
      </c>
      <c r="S2263" s="9">
        <f t="shared" si="268"/>
        <v>42759.516435185178</v>
      </c>
      <c r="T2263" s="9">
        <f t="shared" si="269"/>
        <v>42780.516435185178</v>
      </c>
    </row>
    <row r="2264" spans="1:20" ht="29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66"/>
        <v>1.5415151515151515</v>
      </c>
      <c r="P2264">
        <f t="shared" si="267"/>
        <v>4193.5</v>
      </c>
      <c r="Q2264" t="str">
        <f t="shared" si="264"/>
        <v>games</v>
      </c>
      <c r="R2264" t="str">
        <f t="shared" si="265"/>
        <v>tabletop games</v>
      </c>
      <c r="S2264" s="9">
        <f t="shared" si="268"/>
        <v>41926.376828703702</v>
      </c>
      <c r="T2264" s="9">
        <f t="shared" si="269"/>
        <v>41960.791666666664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66"/>
        <v>1.1554666666666666</v>
      </c>
      <c r="P2265">
        <f t="shared" si="267"/>
        <v>8083</v>
      </c>
      <c r="Q2265" t="str">
        <f t="shared" si="264"/>
        <v>games</v>
      </c>
      <c r="R2265" t="str">
        <f t="shared" si="265"/>
        <v>tabletop games</v>
      </c>
      <c r="S2265" s="9">
        <f t="shared" si="268"/>
        <v>42014.623993055553</v>
      </c>
      <c r="T2265" s="9">
        <f t="shared" si="269"/>
        <v>42035.623993055553</v>
      </c>
    </row>
    <row r="2266" spans="1:20" ht="43.5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66"/>
        <v>1.8003333333333333</v>
      </c>
      <c r="P2266">
        <f t="shared" si="267"/>
        <v>8401</v>
      </c>
      <c r="Q2266" t="str">
        <f t="shared" si="264"/>
        <v>games</v>
      </c>
      <c r="R2266" t="str">
        <f t="shared" si="265"/>
        <v>tabletop games</v>
      </c>
      <c r="S2266" s="9">
        <f t="shared" si="268"/>
        <v>42496.374004629623</v>
      </c>
      <c r="T2266" s="9">
        <f t="shared" si="269"/>
        <v>42512.916666666664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66"/>
        <v>2.9849999999999999</v>
      </c>
      <c r="P2267">
        <f t="shared" si="267"/>
        <v>398.5</v>
      </c>
      <c r="Q2267" t="str">
        <f t="shared" si="264"/>
        <v>games</v>
      </c>
      <c r="R2267" t="str">
        <f t="shared" si="265"/>
        <v>tabletop games</v>
      </c>
      <c r="S2267" s="9">
        <f t="shared" si="268"/>
        <v>42689.644756944443</v>
      </c>
      <c r="T2267" s="9">
        <f t="shared" si="269"/>
        <v>42696.644756944443</v>
      </c>
    </row>
    <row r="2268" spans="1:20" ht="29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66"/>
        <v>3.2026666666666666</v>
      </c>
      <c r="P2268">
        <f t="shared" si="267"/>
        <v>3152</v>
      </c>
      <c r="Q2268" t="str">
        <f t="shared" si="264"/>
        <v>games</v>
      </c>
      <c r="R2268" t="str">
        <f t="shared" si="265"/>
        <v>tabletop games</v>
      </c>
      <c r="S2268" s="9">
        <f t="shared" si="268"/>
        <v>42469.666574074072</v>
      </c>
      <c r="T2268" s="9">
        <f t="shared" si="269"/>
        <v>42486.874999999993</v>
      </c>
    </row>
    <row r="2269" spans="1:20" ht="43.5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66"/>
        <v>3.80525</v>
      </c>
      <c r="P2269">
        <f t="shared" si="267"/>
        <v>48052.5</v>
      </c>
      <c r="Q2269" t="str">
        <f t="shared" si="264"/>
        <v>games</v>
      </c>
      <c r="R2269" t="str">
        <f t="shared" si="265"/>
        <v>tabletop games</v>
      </c>
      <c r="S2269" s="9">
        <f t="shared" si="268"/>
        <v>41968.621493055551</v>
      </c>
      <c r="T2269" s="9">
        <f t="shared" si="269"/>
        <v>41993.833333333336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66"/>
        <v>1.026</v>
      </c>
      <c r="P2270">
        <f t="shared" si="267"/>
        <v>28364</v>
      </c>
      <c r="Q2270" t="str">
        <f t="shared" si="264"/>
        <v>games</v>
      </c>
      <c r="R2270" t="str">
        <f t="shared" si="265"/>
        <v>tabletop games</v>
      </c>
      <c r="S2270" s="9">
        <f t="shared" si="268"/>
        <v>42775.874016203707</v>
      </c>
      <c r="T2270" s="9">
        <f t="shared" si="269"/>
        <v>42805.874016203707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66"/>
        <v>18.016400000000001</v>
      </c>
      <c r="P2271">
        <f t="shared" si="267"/>
        <v>23770.5</v>
      </c>
      <c r="Q2271" t="str">
        <f t="shared" si="264"/>
        <v>games</v>
      </c>
      <c r="R2271" t="str">
        <f t="shared" si="265"/>
        <v>tabletop games</v>
      </c>
      <c r="S2271" s="9">
        <f t="shared" si="268"/>
        <v>42776.496099537035</v>
      </c>
      <c r="T2271" s="9">
        <f t="shared" si="269"/>
        <v>42800.999999999993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66"/>
        <v>7.2024800000000004</v>
      </c>
      <c r="P2272">
        <f t="shared" si="267"/>
        <v>102531</v>
      </c>
      <c r="Q2272" t="str">
        <f t="shared" si="264"/>
        <v>games</v>
      </c>
      <c r="R2272" t="str">
        <f t="shared" si="265"/>
        <v>tabletop games</v>
      </c>
      <c r="S2272" s="9">
        <f t="shared" si="268"/>
        <v>42725.661030092589</v>
      </c>
      <c r="T2272" s="9">
        <f t="shared" si="269"/>
        <v>42745.707638888889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66"/>
        <v>2.8309000000000002</v>
      </c>
      <c r="P2273">
        <f t="shared" si="267"/>
        <v>38309</v>
      </c>
      <c r="Q2273" t="str">
        <f t="shared" si="264"/>
        <v>games</v>
      </c>
      <c r="R2273" t="str">
        <f t="shared" si="265"/>
        <v>tabletop games</v>
      </c>
      <c r="S2273" s="9">
        <f t="shared" si="268"/>
        <v>42683.791712962957</v>
      </c>
      <c r="T2273" s="9">
        <f t="shared" si="269"/>
        <v>42713.791712962957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66"/>
        <v>13.566000000000001</v>
      </c>
      <c r="P2274">
        <f t="shared" si="267"/>
        <v>7283</v>
      </c>
      <c r="Q2274" t="str">
        <f t="shared" si="264"/>
        <v>games</v>
      </c>
      <c r="R2274" t="str">
        <f t="shared" si="265"/>
        <v>tabletop games</v>
      </c>
      <c r="S2274" s="9">
        <f t="shared" si="268"/>
        <v>42315.491157407407</v>
      </c>
      <c r="T2274" s="9">
        <f t="shared" si="269"/>
        <v>42345.491157407407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66"/>
        <v>2.2035999999999998</v>
      </c>
      <c r="P2275">
        <f t="shared" si="267"/>
        <v>4004.5</v>
      </c>
      <c r="Q2275" t="str">
        <f t="shared" si="264"/>
        <v>games</v>
      </c>
      <c r="R2275" t="str">
        <f t="shared" si="265"/>
        <v>tabletop games</v>
      </c>
      <c r="S2275" s="9">
        <f t="shared" si="268"/>
        <v>42781.340763888882</v>
      </c>
      <c r="T2275" s="9">
        <f t="shared" si="269"/>
        <v>42806.299097222225</v>
      </c>
    </row>
    <row r="2276" spans="1:20" ht="43.5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66"/>
        <v>1.196</v>
      </c>
      <c r="P2276">
        <f t="shared" si="267"/>
        <v>2745</v>
      </c>
      <c r="Q2276" t="str">
        <f t="shared" si="264"/>
        <v>games</v>
      </c>
      <c r="R2276" t="str">
        <f t="shared" si="265"/>
        <v>tabletop games</v>
      </c>
      <c r="S2276" s="9">
        <f t="shared" si="268"/>
        <v>41663.292326388888</v>
      </c>
      <c r="T2276" s="9">
        <f t="shared" si="269"/>
        <v>41693.292326388888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66"/>
        <v>4.0776923076923079</v>
      </c>
      <c r="P2277">
        <f t="shared" si="267"/>
        <v>1650.25</v>
      </c>
      <c r="Q2277" t="str">
        <f t="shared" si="264"/>
        <v>games</v>
      </c>
      <c r="R2277" t="str">
        <f t="shared" si="265"/>
        <v>tabletop games</v>
      </c>
      <c r="S2277" s="9">
        <f t="shared" si="268"/>
        <v>41965.408321759256</v>
      </c>
      <c r="T2277" s="9">
        <f t="shared" si="269"/>
        <v>41995.408321759256</v>
      </c>
    </row>
    <row r="2278" spans="1:20" ht="43.5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66"/>
        <v>1.0581826105905425</v>
      </c>
      <c r="P2278">
        <f t="shared" si="267"/>
        <v>4722.5</v>
      </c>
      <c r="Q2278" t="str">
        <f t="shared" si="264"/>
        <v>games</v>
      </c>
      <c r="R2278" t="str">
        <f t="shared" si="265"/>
        <v>tabletop games</v>
      </c>
      <c r="S2278" s="9">
        <f t="shared" si="268"/>
        <v>41614.443159722221</v>
      </c>
      <c r="T2278" s="9">
        <f t="shared" si="269"/>
        <v>41644.443159722221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66"/>
        <v>1.4108235294117648</v>
      </c>
      <c r="P2279">
        <f t="shared" si="267"/>
        <v>10246</v>
      </c>
      <c r="Q2279" t="str">
        <f t="shared" si="264"/>
        <v>games</v>
      </c>
      <c r="R2279" t="str">
        <f t="shared" si="265"/>
        <v>tabletop games</v>
      </c>
      <c r="S2279" s="9">
        <f t="shared" si="268"/>
        <v>40936.470173611109</v>
      </c>
      <c r="T2279" s="9">
        <f t="shared" si="269"/>
        <v>40966.470173611109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66"/>
        <v>2.7069999999999999</v>
      </c>
      <c r="P2280">
        <f t="shared" si="267"/>
        <v>3707</v>
      </c>
      <c r="Q2280" t="str">
        <f t="shared" si="264"/>
        <v>games</v>
      </c>
      <c r="R2280" t="str">
        <f t="shared" si="265"/>
        <v>tabletop games</v>
      </c>
      <c r="S2280" s="9">
        <f t="shared" si="268"/>
        <v>42338.500775462962</v>
      </c>
      <c r="T2280" s="9">
        <f t="shared" si="269"/>
        <v>42372.749305555553</v>
      </c>
    </row>
    <row r="2281" spans="1:20" ht="43.5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66"/>
        <v>1.538</v>
      </c>
      <c r="P2281">
        <f t="shared" si="267"/>
        <v>1269</v>
      </c>
      <c r="Q2281" t="str">
        <f t="shared" si="264"/>
        <v>games</v>
      </c>
      <c r="R2281" t="str">
        <f t="shared" si="265"/>
        <v>tabletop games</v>
      </c>
      <c r="S2281" s="9">
        <f t="shared" si="268"/>
        <v>42020.598368055558</v>
      </c>
      <c r="T2281" s="9">
        <f t="shared" si="269"/>
        <v>42038.958333333336</v>
      </c>
    </row>
    <row r="2282" spans="1:20" ht="43.5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66"/>
        <v>4.0357653061224488</v>
      </c>
      <c r="P2282">
        <f t="shared" si="267"/>
        <v>24675.25</v>
      </c>
      <c r="Q2282" t="str">
        <f t="shared" si="264"/>
        <v>games</v>
      </c>
      <c r="R2282" t="str">
        <f t="shared" si="265"/>
        <v>tabletop games</v>
      </c>
      <c r="S2282" s="9">
        <f t="shared" si="268"/>
        <v>42234.416562499995</v>
      </c>
      <c r="T2282" s="9">
        <f t="shared" si="269"/>
        <v>42264.416562499995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66"/>
        <v>1.85</v>
      </c>
      <c r="P2283">
        <f t="shared" si="267"/>
        <v>427.5</v>
      </c>
      <c r="Q2283" t="str">
        <f>IF(N2283="music/rock","music")</f>
        <v>music</v>
      </c>
      <c r="R2283" t="str">
        <f>IF(N2283="music/rock","rock")</f>
        <v>rock</v>
      </c>
      <c r="S2283" s="9">
        <f t="shared" si="268"/>
        <v>40687.077511574069</v>
      </c>
      <c r="T2283" s="9">
        <f t="shared" si="269"/>
        <v>40749.076388888883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66"/>
        <v>1.8533333333333333</v>
      </c>
      <c r="P2284">
        <f t="shared" si="267"/>
        <v>1070</v>
      </c>
      <c r="Q2284" t="str">
        <f t="shared" ref="Q2284:Q2302" si="270">IF(N2284="music/rock","music")</f>
        <v>music</v>
      </c>
      <c r="R2284" t="str">
        <f t="shared" ref="R2284:R2302" si="271">IF(N2284="music/rock","rock")</f>
        <v>rock</v>
      </c>
      <c r="S2284" s="9">
        <f t="shared" si="268"/>
        <v>42322.966273148144</v>
      </c>
      <c r="T2284" s="9">
        <f t="shared" si="269"/>
        <v>42382.966273148144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66"/>
        <v>1.0085533333333332</v>
      </c>
      <c r="P2285">
        <f t="shared" si="267"/>
        <v>3012.83</v>
      </c>
      <c r="Q2285" t="str">
        <f t="shared" si="270"/>
        <v>music</v>
      </c>
      <c r="R2285" t="str">
        <f t="shared" si="271"/>
        <v>rock</v>
      </c>
      <c r="S2285" s="9">
        <f t="shared" si="268"/>
        <v>40977.916712962957</v>
      </c>
      <c r="T2285" s="9">
        <f t="shared" si="269"/>
        <v>41037.875046296293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66"/>
        <v>1.0622116666666668</v>
      </c>
      <c r="P2286">
        <f t="shared" si="267"/>
        <v>6186.6350000000002</v>
      </c>
      <c r="Q2286" t="str">
        <f t="shared" si="270"/>
        <v>music</v>
      </c>
      <c r="R2286" t="str">
        <f t="shared" si="271"/>
        <v>rock</v>
      </c>
      <c r="S2286" s="9">
        <f t="shared" si="268"/>
        <v>40585.588483796295</v>
      </c>
      <c r="T2286" s="9">
        <f t="shared" si="269"/>
        <v>40613.958333333328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66"/>
        <v>1.2136666666666667</v>
      </c>
      <c r="P2287">
        <f t="shared" si="267"/>
        <v>3320.5</v>
      </c>
      <c r="Q2287" t="str">
        <f t="shared" si="270"/>
        <v>music</v>
      </c>
      <c r="R2287" t="str">
        <f t="shared" si="271"/>
        <v>rock</v>
      </c>
      <c r="S2287" s="9">
        <f t="shared" si="268"/>
        <v>41058.977349537039</v>
      </c>
      <c r="T2287" s="9">
        <f t="shared" si="269"/>
        <v>41088.977349537039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66"/>
        <v>1.0006666666666666</v>
      </c>
      <c r="P2288">
        <f t="shared" si="267"/>
        <v>1500.5</v>
      </c>
      <c r="Q2288" t="str">
        <f t="shared" si="270"/>
        <v>music</v>
      </c>
      <c r="R2288" t="str">
        <f t="shared" si="271"/>
        <v>rock</v>
      </c>
      <c r="S2288" s="9">
        <f t="shared" si="268"/>
        <v>41494.755254629628</v>
      </c>
      <c r="T2288" s="9">
        <f t="shared" si="269"/>
        <v>41522.957638888889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66"/>
        <v>1.1997755555555556</v>
      </c>
      <c r="P2289">
        <f t="shared" si="267"/>
        <v>4949.4949999999999</v>
      </c>
      <c r="Q2289" t="str">
        <f t="shared" si="270"/>
        <v>music</v>
      </c>
      <c r="R2289" t="str">
        <f t="shared" si="271"/>
        <v>rock</v>
      </c>
      <c r="S2289" s="9">
        <f t="shared" si="268"/>
        <v>41792.459027777775</v>
      </c>
      <c r="T2289" s="9">
        <f t="shared" si="269"/>
        <v>41813.459027777775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66"/>
        <v>1.0009999999999999</v>
      </c>
      <c r="P2290">
        <f t="shared" si="267"/>
        <v>1000.5</v>
      </c>
      <c r="Q2290" t="str">
        <f t="shared" si="270"/>
        <v>music</v>
      </c>
      <c r="R2290" t="str">
        <f t="shared" si="271"/>
        <v>rock</v>
      </c>
      <c r="S2290" s="9">
        <f t="shared" si="268"/>
        <v>41067.619085648148</v>
      </c>
      <c r="T2290" s="9">
        <f t="shared" si="269"/>
        <v>41086.541666666664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66"/>
        <v>1.0740000000000001</v>
      </c>
      <c r="P2291">
        <f t="shared" si="267"/>
        <v>1555.5</v>
      </c>
      <c r="Q2291" t="str">
        <f t="shared" si="270"/>
        <v>music</v>
      </c>
      <c r="R2291" t="str">
        <f t="shared" si="271"/>
        <v>rock</v>
      </c>
      <c r="S2291" s="9">
        <f t="shared" si="268"/>
        <v>41571.790046296293</v>
      </c>
      <c r="T2291" s="9">
        <f t="shared" si="269"/>
        <v>41614.765277777777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66"/>
        <v>1.0406666666666666</v>
      </c>
      <c r="P2292">
        <f t="shared" si="267"/>
        <v>1530.5</v>
      </c>
      <c r="Q2292" t="str">
        <f t="shared" si="270"/>
        <v>music</v>
      </c>
      <c r="R2292" t="str">
        <f t="shared" si="271"/>
        <v>rock</v>
      </c>
      <c r="S2292" s="9">
        <f t="shared" si="268"/>
        <v>40070.045486111107</v>
      </c>
      <c r="T2292" s="9">
        <f t="shared" si="269"/>
        <v>40148.5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66"/>
        <v>1.728</v>
      </c>
      <c r="P2293">
        <f t="shared" si="267"/>
        <v>3410</v>
      </c>
      <c r="Q2293" t="str">
        <f t="shared" si="270"/>
        <v>music</v>
      </c>
      <c r="R2293" t="str">
        <f t="shared" si="271"/>
        <v>rock</v>
      </c>
      <c r="S2293" s="9">
        <f t="shared" si="268"/>
        <v>40987.768726851849</v>
      </c>
      <c r="T2293" s="9">
        <f t="shared" si="269"/>
        <v>41021.958333333328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66"/>
        <v>1.072505</v>
      </c>
      <c r="P2294">
        <f t="shared" si="267"/>
        <v>2072.5050000000001</v>
      </c>
      <c r="Q2294" t="str">
        <f t="shared" si="270"/>
        <v>music</v>
      </c>
      <c r="R2294" t="str">
        <f t="shared" si="271"/>
        <v>rock</v>
      </c>
      <c r="S2294" s="9">
        <f t="shared" si="268"/>
        <v>40987.489305555551</v>
      </c>
      <c r="T2294" s="9">
        <f t="shared" si="269"/>
        <v>41017.489305555551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66"/>
        <v>1.0823529411764705</v>
      </c>
      <c r="P2295">
        <f t="shared" si="267"/>
        <v>885</v>
      </c>
      <c r="Q2295" t="str">
        <f t="shared" si="270"/>
        <v>music</v>
      </c>
      <c r="R2295" t="str">
        <f t="shared" si="271"/>
        <v>rock</v>
      </c>
      <c r="S2295" s="9">
        <f t="shared" si="268"/>
        <v>41151.499988425923</v>
      </c>
      <c r="T2295" s="9">
        <f t="shared" si="269"/>
        <v>41176.957638888889</v>
      </c>
    </row>
    <row r="2296" spans="1:20" ht="43.5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66"/>
        <v>1.4608079999999999</v>
      </c>
      <c r="P2296">
        <f t="shared" si="267"/>
        <v>6152.02</v>
      </c>
      <c r="Q2296" t="str">
        <f t="shared" si="270"/>
        <v>music</v>
      </c>
      <c r="R2296" t="str">
        <f t="shared" si="271"/>
        <v>rock</v>
      </c>
      <c r="S2296" s="9">
        <f t="shared" si="268"/>
        <v>41264.514814814815</v>
      </c>
      <c r="T2296" s="9">
        <f t="shared" si="269"/>
        <v>41294.514814814815</v>
      </c>
    </row>
    <row r="2297" spans="1:20" ht="43.5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66"/>
        <v>1.2524999999999999</v>
      </c>
      <c r="P2297">
        <f t="shared" si="267"/>
        <v>1351.5</v>
      </c>
      <c r="Q2297" t="str">
        <f t="shared" si="270"/>
        <v>music</v>
      </c>
      <c r="R2297" t="str">
        <f t="shared" si="271"/>
        <v>rock</v>
      </c>
      <c r="S2297" s="9">
        <f t="shared" si="268"/>
        <v>41270.746018518512</v>
      </c>
      <c r="T2297" s="9">
        <f t="shared" si="269"/>
        <v>41300.746018518512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66"/>
        <v>1.4907142857142857</v>
      </c>
      <c r="P2298">
        <f t="shared" si="267"/>
        <v>8717.5</v>
      </c>
      <c r="Q2298" t="str">
        <f t="shared" si="270"/>
        <v>music</v>
      </c>
      <c r="R2298" t="str">
        <f t="shared" si="271"/>
        <v>rock</v>
      </c>
      <c r="S2298" s="9">
        <f t="shared" si="268"/>
        <v>40927.52344907407</v>
      </c>
      <c r="T2298" s="9">
        <f t="shared" si="269"/>
        <v>40962.52344907407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66"/>
        <v>1.006</v>
      </c>
      <c r="P2299">
        <f t="shared" si="267"/>
        <v>1003</v>
      </c>
      <c r="Q2299" t="str">
        <f t="shared" si="270"/>
        <v>music</v>
      </c>
      <c r="R2299" t="str">
        <f t="shared" si="271"/>
        <v>rock</v>
      </c>
      <c r="S2299" s="9">
        <f t="shared" si="268"/>
        <v>40947.83390046296</v>
      </c>
      <c r="T2299" s="9">
        <f t="shared" si="269"/>
        <v>40981.957638888889</v>
      </c>
    </row>
    <row r="2300" spans="1:20" ht="29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66"/>
        <v>1.0507333333333333</v>
      </c>
      <c r="P2300">
        <f t="shared" si="267"/>
        <v>30761</v>
      </c>
      <c r="Q2300" t="str">
        <f t="shared" si="270"/>
        <v>music</v>
      </c>
      <c r="R2300" t="str">
        <f t="shared" si="271"/>
        <v>rock</v>
      </c>
      <c r="S2300" s="9">
        <f t="shared" si="268"/>
        <v>41694.632326388884</v>
      </c>
      <c r="T2300" s="9">
        <f t="shared" si="269"/>
        <v>41724.59065972222</v>
      </c>
    </row>
    <row r="2301" spans="1:20" ht="29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66"/>
        <v>3.5016666666666665</v>
      </c>
      <c r="P2301">
        <f t="shared" si="267"/>
        <v>675.25</v>
      </c>
      <c r="Q2301" t="str">
        <f t="shared" si="270"/>
        <v>music</v>
      </c>
      <c r="R2301" t="str">
        <f t="shared" si="271"/>
        <v>rock</v>
      </c>
      <c r="S2301" s="9">
        <f t="shared" si="268"/>
        <v>40564.824178240735</v>
      </c>
      <c r="T2301" s="9">
        <f t="shared" si="269"/>
        <v>40579.824178240735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66"/>
        <v>1.0125</v>
      </c>
      <c r="P2302">
        <f t="shared" si="267"/>
        <v>805</v>
      </c>
      <c r="Q2302" t="str">
        <f t="shared" si="270"/>
        <v>music</v>
      </c>
      <c r="R2302" t="str">
        <f t="shared" si="271"/>
        <v>rock</v>
      </c>
      <c r="S2302" s="9">
        <f t="shared" si="268"/>
        <v>41074.518703703703</v>
      </c>
      <c r="T2302" s="9">
        <f t="shared" si="269"/>
        <v>41088.518703703703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66"/>
        <v>1.336044</v>
      </c>
      <c r="P2303">
        <f t="shared" si="267"/>
        <v>5840.1100000000006</v>
      </c>
      <c r="Q2303" t="str">
        <f>IF(N2303="music/indie rock","music")</f>
        <v>music</v>
      </c>
      <c r="R2303" t="str">
        <f>IF(N2303="music/indie rock","indie rock")</f>
        <v>indie rock</v>
      </c>
      <c r="S2303" s="9">
        <f t="shared" si="268"/>
        <v>41415.938611111109</v>
      </c>
      <c r="T2303" s="9">
        <f t="shared" si="269"/>
        <v>41445.938611111109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66"/>
        <v>1.7065217391304348</v>
      </c>
      <c r="P2304">
        <f t="shared" si="267"/>
        <v>3112.5</v>
      </c>
      <c r="Q2304" t="str">
        <f t="shared" ref="Q2304:Q2322" si="272">IF(N2304="music/indie rock","music")</f>
        <v>music</v>
      </c>
      <c r="R2304" t="str">
        <f t="shared" ref="R2304:R2322" si="273">IF(N2304="music/indie rock","indie rock")</f>
        <v>indie rock</v>
      </c>
      <c r="S2304" s="9">
        <f t="shared" si="268"/>
        <v>41605.660115740735</v>
      </c>
      <c r="T2304" s="9">
        <f t="shared" si="269"/>
        <v>41639.083333333328</v>
      </c>
    </row>
    <row r="2305" spans="1:20" ht="43.5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66"/>
        <v>1.0935829457364341</v>
      </c>
      <c r="P2305">
        <f t="shared" si="267"/>
        <v>6751.8050000000003</v>
      </c>
      <c r="Q2305" t="str">
        <f t="shared" si="272"/>
        <v>music</v>
      </c>
      <c r="R2305" t="str">
        <f t="shared" si="273"/>
        <v>indie rock</v>
      </c>
      <c r="S2305" s="9">
        <f t="shared" si="268"/>
        <v>40849.902731481481</v>
      </c>
      <c r="T2305" s="9">
        <f t="shared" si="269"/>
        <v>40889.944398148145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66"/>
        <v>1.0070033333333335</v>
      </c>
      <c r="P2306">
        <f t="shared" si="267"/>
        <v>6021.01</v>
      </c>
      <c r="Q2306" t="str">
        <f t="shared" si="272"/>
        <v>music</v>
      </c>
      <c r="R2306" t="str">
        <f t="shared" si="273"/>
        <v>indie rock</v>
      </c>
      <c r="S2306" s="9">
        <f t="shared" si="268"/>
        <v>40502.607534722221</v>
      </c>
      <c r="T2306" s="9">
        <f t="shared" si="269"/>
        <v>40543.999305555553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74">E2307/D2307</f>
        <v>1.0122777777777778</v>
      </c>
      <c r="P2307">
        <f t="shared" ref="P2307:P2370" si="275">AVERAGE(D2307:E2307)</f>
        <v>18110.5</v>
      </c>
      <c r="Q2307" t="str">
        <f t="shared" si="272"/>
        <v>music</v>
      </c>
      <c r="R2307" t="str">
        <f t="shared" si="273"/>
        <v>indie rock</v>
      </c>
      <c r="S2307" s="9">
        <f t="shared" ref="S2307:S2370" si="276">J2307/86400+25569+(-5/24)</f>
        <v>41834.486944444441</v>
      </c>
      <c r="T2307" s="9">
        <f t="shared" si="269"/>
        <v>41859.541666666664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74"/>
        <v>1.0675857142857144</v>
      </c>
      <c r="P2308">
        <f t="shared" si="275"/>
        <v>3618.2750000000001</v>
      </c>
      <c r="Q2308" t="str">
        <f t="shared" si="272"/>
        <v>music</v>
      </c>
      <c r="R2308" t="str">
        <f t="shared" si="273"/>
        <v>indie rock</v>
      </c>
      <c r="S2308" s="9">
        <f t="shared" si="276"/>
        <v>40947.959826388884</v>
      </c>
      <c r="T2308" s="9">
        <f t="shared" ref="T2308:T2371" si="277">I2308/86400+25569+(-5/24)</f>
        <v>40977.959826388884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74"/>
        <v>1.0665777537961894</v>
      </c>
      <c r="P2309">
        <f t="shared" si="275"/>
        <v>2029.8650000000002</v>
      </c>
      <c r="Q2309" t="str">
        <f t="shared" si="272"/>
        <v>music</v>
      </c>
      <c r="R2309" t="str">
        <f t="shared" si="273"/>
        <v>indie rock</v>
      </c>
      <c r="S2309" s="9">
        <f t="shared" si="276"/>
        <v>41004.594131944446</v>
      </c>
      <c r="T2309" s="9">
        <f t="shared" si="277"/>
        <v>41034.59407407407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74"/>
        <v>1.0130622</v>
      </c>
      <c r="P2310">
        <f t="shared" si="275"/>
        <v>50326.555</v>
      </c>
      <c r="Q2310" t="str">
        <f t="shared" si="272"/>
        <v>music</v>
      </c>
      <c r="R2310" t="str">
        <f t="shared" si="273"/>
        <v>indie rock</v>
      </c>
      <c r="S2310" s="9">
        <f t="shared" si="276"/>
        <v>41851.754583333335</v>
      </c>
      <c r="T2310" s="9">
        <f t="shared" si="277"/>
        <v>41879.833333333328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74"/>
        <v>1.0667450000000001</v>
      </c>
      <c r="P2311">
        <f t="shared" si="275"/>
        <v>6200.2350000000006</v>
      </c>
      <c r="Q2311" t="str">
        <f t="shared" si="272"/>
        <v>music</v>
      </c>
      <c r="R2311" t="str">
        <f t="shared" si="273"/>
        <v>indie rock</v>
      </c>
      <c r="S2311" s="9">
        <f t="shared" si="276"/>
        <v>41307.779363425921</v>
      </c>
      <c r="T2311" s="9">
        <f t="shared" si="277"/>
        <v>41342.779363425921</v>
      </c>
    </row>
    <row r="2312" spans="1:20" ht="43.5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74"/>
        <v>4.288397837837838</v>
      </c>
      <c r="P2312">
        <f t="shared" si="275"/>
        <v>48917.68</v>
      </c>
      <c r="Q2312" t="str">
        <f t="shared" si="272"/>
        <v>music</v>
      </c>
      <c r="R2312" t="str">
        <f t="shared" si="273"/>
        <v>indie rock</v>
      </c>
      <c r="S2312" s="9">
        <f t="shared" si="276"/>
        <v>41324.585821759254</v>
      </c>
      <c r="T2312" s="9">
        <f t="shared" si="277"/>
        <v>41354.54415509259</v>
      </c>
    </row>
    <row r="2313" spans="1:20" ht="29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74"/>
        <v>1.0411111111111111</v>
      </c>
      <c r="P2313">
        <f t="shared" si="275"/>
        <v>9185</v>
      </c>
      <c r="Q2313" t="str">
        <f t="shared" si="272"/>
        <v>music</v>
      </c>
      <c r="R2313" t="str">
        <f t="shared" si="273"/>
        <v>indie rock</v>
      </c>
      <c r="S2313" s="9">
        <f t="shared" si="276"/>
        <v>41735.796168981477</v>
      </c>
      <c r="T2313" s="9">
        <f t="shared" si="277"/>
        <v>41765.796168981477</v>
      </c>
    </row>
    <row r="2314" spans="1:20" ht="29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74"/>
        <v>1.0786666666666667</v>
      </c>
      <c r="P2314">
        <f t="shared" si="275"/>
        <v>3118</v>
      </c>
      <c r="Q2314" t="str">
        <f t="shared" si="272"/>
        <v>music</v>
      </c>
      <c r="R2314" t="str">
        <f t="shared" si="273"/>
        <v>indie rock</v>
      </c>
      <c r="S2314" s="9">
        <f t="shared" si="276"/>
        <v>41716.424513888887</v>
      </c>
      <c r="T2314" s="9">
        <f t="shared" si="277"/>
        <v>41747.75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74"/>
        <v>1.7584040000000001</v>
      </c>
      <c r="P2315">
        <f t="shared" si="275"/>
        <v>6896.01</v>
      </c>
      <c r="Q2315" t="str">
        <f t="shared" si="272"/>
        <v>music</v>
      </c>
      <c r="R2315" t="str">
        <f t="shared" si="273"/>
        <v>indie rock</v>
      </c>
      <c r="S2315" s="9">
        <f t="shared" si="276"/>
        <v>41002.750300925924</v>
      </c>
      <c r="T2315" s="9">
        <f t="shared" si="277"/>
        <v>41032.750300925924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74"/>
        <v>1.5697000000000001</v>
      </c>
      <c r="P2316">
        <f t="shared" si="275"/>
        <v>1541.8200000000002</v>
      </c>
      <c r="Q2316" t="str">
        <f t="shared" si="272"/>
        <v>music</v>
      </c>
      <c r="R2316" t="str">
        <f t="shared" si="273"/>
        <v>indie rock</v>
      </c>
      <c r="S2316" s="9">
        <f t="shared" si="276"/>
        <v>41037.343252314815</v>
      </c>
      <c r="T2316" s="9">
        <f t="shared" si="277"/>
        <v>41067.343252314815</v>
      </c>
    </row>
    <row r="2317" spans="1:20" ht="29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74"/>
        <v>1.026</v>
      </c>
      <c r="P2317">
        <f t="shared" si="275"/>
        <v>2532.5</v>
      </c>
      <c r="Q2317" t="str">
        <f t="shared" si="272"/>
        <v>music</v>
      </c>
      <c r="R2317" t="str">
        <f t="shared" si="273"/>
        <v>indie rock</v>
      </c>
      <c r="S2317" s="9">
        <f t="shared" si="276"/>
        <v>41004.517858796295</v>
      </c>
      <c r="T2317" s="9">
        <f t="shared" si="277"/>
        <v>41034.517858796295</v>
      </c>
    </row>
    <row r="2318" spans="1:20" ht="43.5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74"/>
        <v>1.0404266666666666</v>
      </c>
      <c r="P2318">
        <f t="shared" si="275"/>
        <v>15303.2</v>
      </c>
      <c r="Q2318" t="str">
        <f t="shared" si="272"/>
        <v>music</v>
      </c>
      <c r="R2318" t="str">
        <f t="shared" si="273"/>
        <v>indie rock</v>
      </c>
      <c r="S2318" s="9">
        <f t="shared" si="276"/>
        <v>40079.516782407409</v>
      </c>
      <c r="T2318" s="9">
        <f t="shared" si="277"/>
        <v>40156.558333333327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74"/>
        <v>1.04</v>
      </c>
      <c r="P2319">
        <f t="shared" si="275"/>
        <v>408</v>
      </c>
      <c r="Q2319" t="str">
        <f t="shared" si="272"/>
        <v>music</v>
      </c>
      <c r="R2319" t="str">
        <f t="shared" si="273"/>
        <v>indie rock</v>
      </c>
      <c r="S2319" s="9">
        <f t="shared" si="276"/>
        <v>40192.33390046296</v>
      </c>
      <c r="T2319" s="9">
        <f t="shared" si="277"/>
        <v>40224</v>
      </c>
    </row>
    <row r="2320" spans="1:20" ht="43.5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74"/>
        <v>1.2105999999999999</v>
      </c>
      <c r="P2320">
        <f t="shared" si="275"/>
        <v>5526.5</v>
      </c>
      <c r="Q2320" t="str">
        <f t="shared" si="272"/>
        <v>music</v>
      </c>
      <c r="R2320" t="str">
        <f t="shared" si="273"/>
        <v>indie rock</v>
      </c>
      <c r="S2320" s="9">
        <f t="shared" si="276"/>
        <v>40050.435347222221</v>
      </c>
      <c r="T2320" s="9">
        <f t="shared" si="277"/>
        <v>40081.957638888889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74"/>
        <v>1.077</v>
      </c>
      <c r="P2321">
        <f t="shared" si="275"/>
        <v>3115.5</v>
      </c>
      <c r="Q2321" t="str">
        <f t="shared" si="272"/>
        <v>music</v>
      </c>
      <c r="R2321" t="str">
        <f t="shared" si="273"/>
        <v>indie rock</v>
      </c>
      <c r="S2321" s="9">
        <f t="shared" si="276"/>
        <v>41592.873668981476</v>
      </c>
      <c r="T2321" s="9">
        <f t="shared" si="277"/>
        <v>41622.873668981476</v>
      </c>
    </row>
    <row r="2322" spans="1:20" ht="43.5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74"/>
        <v>1.0866</v>
      </c>
      <c r="P2322">
        <f t="shared" si="275"/>
        <v>5216.5</v>
      </c>
      <c r="Q2322" t="str">
        <f t="shared" si="272"/>
        <v>music</v>
      </c>
      <c r="R2322" t="str">
        <f t="shared" si="273"/>
        <v>indie rock</v>
      </c>
      <c r="S2322" s="9">
        <f t="shared" si="276"/>
        <v>41696.608796296292</v>
      </c>
      <c r="T2322" s="9">
        <f t="shared" si="277"/>
        <v>41731.567129629628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74"/>
        <v>0.39120962394619685</v>
      </c>
      <c r="P2323">
        <f t="shared" si="275"/>
        <v>7343.5</v>
      </c>
      <c r="Q2323" t="str">
        <f>IF(N2323="food/small batch","food")</f>
        <v>food</v>
      </c>
      <c r="R2323" t="str">
        <f>IF(N2323="food/small batch","small batch")</f>
        <v>small batch</v>
      </c>
      <c r="S2323" s="9">
        <f t="shared" si="276"/>
        <v>42799.052094907405</v>
      </c>
      <c r="T2323" s="9">
        <f t="shared" si="277"/>
        <v>42829.010428240734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74"/>
        <v>3.1481481481481478E-2</v>
      </c>
      <c r="P2324">
        <f t="shared" si="275"/>
        <v>1392.5</v>
      </c>
      <c r="Q2324" t="str">
        <f t="shared" ref="Q2324:Q2342" si="278">IF(N2324="food/small batch","food")</f>
        <v>food</v>
      </c>
      <c r="R2324" t="str">
        <f t="shared" ref="R2324:R2342" si="279">IF(N2324="food/small batch","small batch")</f>
        <v>small batch</v>
      </c>
      <c r="S2324" s="9">
        <f t="shared" si="276"/>
        <v>42804.6871412037</v>
      </c>
      <c r="T2324" s="9">
        <f t="shared" si="277"/>
        <v>42834.645474537036</v>
      </c>
    </row>
    <row r="2325" spans="1:20" ht="29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74"/>
        <v>0.48</v>
      </c>
      <c r="P2325">
        <f t="shared" si="275"/>
        <v>185</v>
      </c>
      <c r="Q2325" t="str">
        <f t="shared" si="278"/>
        <v>food</v>
      </c>
      <c r="R2325" t="str">
        <f t="shared" si="279"/>
        <v>small batch</v>
      </c>
      <c r="S2325" s="9">
        <f t="shared" si="276"/>
        <v>42807.546840277777</v>
      </c>
      <c r="T2325" s="9">
        <f t="shared" si="277"/>
        <v>42814.546840277777</v>
      </c>
    </row>
    <row r="2326" spans="1:20" ht="29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74"/>
        <v>0.20733333333333334</v>
      </c>
      <c r="P2326">
        <f t="shared" si="275"/>
        <v>4527.5</v>
      </c>
      <c r="Q2326" t="str">
        <f t="shared" si="278"/>
        <v>food</v>
      </c>
      <c r="R2326" t="str">
        <f t="shared" si="279"/>
        <v>small batch</v>
      </c>
      <c r="S2326" s="9">
        <f t="shared" si="276"/>
        <v>42790.67690972222</v>
      </c>
      <c r="T2326" s="9">
        <f t="shared" si="277"/>
        <v>42820.635243055549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74"/>
        <v>0.08</v>
      </c>
      <c r="P2327">
        <f t="shared" si="275"/>
        <v>540</v>
      </c>
      <c r="Q2327" t="str">
        <f t="shared" si="278"/>
        <v>food</v>
      </c>
      <c r="R2327" t="str">
        <f t="shared" si="279"/>
        <v>small batch</v>
      </c>
      <c r="S2327" s="9">
        <f t="shared" si="276"/>
        <v>42793.814016203702</v>
      </c>
      <c r="T2327" s="9">
        <f t="shared" si="277"/>
        <v>42823.772349537037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74"/>
        <v>7.1999999999999998E-3</v>
      </c>
      <c r="P2328">
        <f t="shared" si="275"/>
        <v>7554</v>
      </c>
      <c r="Q2328" t="str">
        <f t="shared" si="278"/>
        <v>food</v>
      </c>
      <c r="R2328" t="str">
        <f t="shared" si="279"/>
        <v>small batch</v>
      </c>
      <c r="S2328" s="9">
        <f t="shared" si="276"/>
        <v>42803.825787037036</v>
      </c>
      <c r="T2328" s="9">
        <f t="shared" si="277"/>
        <v>42855.499999999993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74"/>
        <v>5.2609431428571432</v>
      </c>
      <c r="P2329">
        <f t="shared" si="275"/>
        <v>109566.505</v>
      </c>
      <c r="Q2329" t="str">
        <f t="shared" si="278"/>
        <v>food</v>
      </c>
      <c r="R2329" t="str">
        <f t="shared" si="279"/>
        <v>small batch</v>
      </c>
      <c r="S2329" s="9">
        <f t="shared" si="276"/>
        <v>41842.708796296291</v>
      </c>
      <c r="T2329" s="9">
        <f t="shared" si="277"/>
        <v>41877.708796296291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74"/>
        <v>2.5445000000000002</v>
      </c>
      <c r="P2330">
        <f t="shared" si="275"/>
        <v>17722.5</v>
      </c>
      <c r="Q2330" t="str">
        <f t="shared" si="278"/>
        <v>food</v>
      </c>
      <c r="R2330" t="str">
        <f t="shared" si="279"/>
        <v>small batch</v>
      </c>
      <c r="S2330" s="9">
        <f t="shared" si="276"/>
        <v>42139.573344907403</v>
      </c>
      <c r="T2330" s="9">
        <f t="shared" si="277"/>
        <v>42169.573344907403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74"/>
        <v>1.0591999999999999</v>
      </c>
      <c r="P2331">
        <f t="shared" si="275"/>
        <v>25740</v>
      </c>
      <c r="Q2331" t="str">
        <f t="shared" si="278"/>
        <v>food</v>
      </c>
      <c r="R2331" t="str">
        <f t="shared" si="279"/>
        <v>small batch</v>
      </c>
      <c r="S2331" s="9">
        <f t="shared" si="276"/>
        <v>41807.416041666664</v>
      </c>
      <c r="T2331" s="9">
        <f t="shared" si="277"/>
        <v>41837.416041666664</v>
      </c>
    </row>
    <row r="2332" spans="1:20" ht="43.5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74"/>
        <v>1.0242285714285715</v>
      </c>
      <c r="P2332">
        <f t="shared" si="275"/>
        <v>35424</v>
      </c>
      <c r="Q2332" t="str">
        <f t="shared" si="278"/>
        <v>food</v>
      </c>
      <c r="R2332" t="str">
        <f t="shared" si="279"/>
        <v>small batch</v>
      </c>
      <c r="S2332" s="9">
        <f t="shared" si="276"/>
        <v>42332.691469907404</v>
      </c>
      <c r="T2332" s="9">
        <f t="shared" si="277"/>
        <v>42362.791666666664</v>
      </c>
    </row>
    <row r="2333" spans="1:20" ht="29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74"/>
        <v>1.4431375</v>
      </c>
      <c r="P2333">
        <f t="shared" si="275"/>
        <v>9772.5499999999993</v>
      </c>
      <c r="Q2333" t="str">
        <f t="shared" si="278"/>
        <v>food</v>
      </c>
      <c r="R2333" t="str">
        <f t="shared" si="279"/>
        <v>small batch</v>
      </c>
      <c r="S2333" s="9">
        <f t="shared" si="276"/>
        <v>41838.797337962962</v>
      </c>
      <c r="T2333" s="9">
        <f t="shared" si="277"/>
        <v>41868.797337962962</v>
      </c>
    </row>
    <row r="2334" spans="1:20" ht="43.5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74"/>
        <v>1.06308</v>
      </c>
      <c r="P2334">
        <f t="shared" si="275"/>
        <v>25788.5</v>
      </c>
      <c r="Q2334" t="str">
        <f t="shared" si="278"/>
        <v>food</v>
      </c>
      <c r="R2334" t="str">
        <f t="shared" si="279"/>
        <v>small batch</v>
      </c>
      <c r="S2334" s="9">
        <f t="shared" si="276"/>
        <v>42011.419803240737</v>
      </c>
      <c r="T2334" s="9">
        <f t="shared" si="277"/>
        <v>42041.419803240737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74"/>
        <v>2.1216666666666666</v>
      </c>
      <c r="P2335">
        <f t="shared" si="275"/>
        <v>936.5</v>
      </c>
      <c r="Q2335" t="str">
        <f t="shared" si="278"/>
        <v>food</v>
      </c>
      <c r="R2335" t="str">
        <f t="shared" si="279"/>
        <v>small batch</v>
      </c>
      <c r="S2335" s="9">
        <f t="shared" si="276"/>
        <v>41767.442013888889</v>
      </c>
      <c r="T2335" s="9">
        <f t="shared" si="277"/>
        <v>41788.534722222219</v>
      </c>
    </row>
    <row r="2336" spans="1:20" ht="29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74"/>
        <v>1.0195000000000001</v>
      </c>
      <c r="P2336">
        <f t="shared" si="275"/>
        <v>4039</v>
      </c>
      <c r="Q2336" t="str">
        <f t="shared" si="278"/>
        <v>food</v>
      </c>
      <c r="R2336" t="str">
        <f t="shared" si="279"/>
        <v>small batch</v>
      </c>
      <c r="S2336" s="9">
        <f t="shared" si="276"/>
        <v>41918.461782407401</v>
      </c>
      <c r="T2336" s="9">
        <f t="shared" si="277"/>
        <v>41948.523611111108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74"/>
        <v>1.0227200000000001</v>
      </c>
      <c r="P2337">
        <f t="shared" si="275"/>
        <v>25284</v>
      </c>
      <c r="Q2337" t="str">
        <f t="shared" si="278"/>
        <v>food</v>
      </c>
      <c r="R2337" t="str">
        <f t="shared" si="279"/>
        <v>small batch</v>
      </c>
      <c r="S2337" s="9">
        <f t="shared" si="276"/>
        <v>41771.363923611112</v>
      </c>
      <c r="T2337" s="9">
        <f t="shared" si="277"/>
        <v>41801.363923611112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74"/>
        <v>5.2073254999999996</v>
      </c>
      <c r="P2338">
        <f t="shared" si="275"/>
        <v>62073.254999999997</v>
      </c>
      <c r="Q2338" t="str">
        <f t="shared" si="278"/>
        <v>food</v>
      </c>
      <c r="R2338" t="str">
        <f t="shared" si="279"/>
        <v>small batch</v>
      </c>
      <c r="S2338" s="9">
        <f t="shared" si="276"/>
        <v>41666.716377314813</v>
      </c>
      <c r="T2338" s="9">
        <f t="shared" si="277"/>
        <v>41706.716377314813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74"/>
        <v>1.1065833333333333</v>
      </c>
      <c r="P2339">
        <f t="shared" si="275"/>
        <v>12639.5</v>
      </c>
      <c r="Q2339" t="str">
        <f t="shared" si="278"/>
        <v>food</v>
      </c>
      <c r="R2339" t="str">
        <f t="shared" si="279"/>
        <v>small batch</v>
      </c>
      <c r="S2339" s="9">
        <f t="shared" si="276"/>
        <v>41786.432210648149</v>
      </c>
      <c r="T2339" s="9">
        <f t="shared" si="277"/>
        <v>41816.432210648149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74"/>
        <v>1.0114333333333334</v>
      </c>
      <c r="P2340">
        <f t="shared" si="275"/>
        <v>15085.75</v>
      </c>
      <c r="Q2340" t="str">
        <f t="shared" si="278"/>
        <v>food</v>
      </c>
      <c r="R2340" t="str">
        <f t="shared" si="279"/>
        <v>small batch</v>
      </c>
      <c r="S2340" s="9">
        <f t="shared" si="276"/>
        <v>41789.688472222224</v>
      </c>
      <c r="T2340" s="9">
        <f t="shared" si="277"/>
        <v>41819.688472222224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74"/>
        <v>2.9420799999999998</v>
      </c>
      <c r="P2341">
        <f t="shared" si="275"/>
        <v>49276</v>
      </c>
      <c r="Q2341" t="str">
        <f t="shared" si="278"/>
        <v>food</v>
      </c>
      <c r="R2341" t="str">
        <f t="shared" si="279"/>
        <v>small batch</v>
      </c>
      <c r="S2341" s="9">
        <f t="shared" si="276"/>
        <v>42692.591539351844</v>
      </c>
      <c r="T2341" s="9">
        <f t="shared" si="277"/>
        <v>42723.124305555553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74"/>
        <v>1.0577749999999999</v>
      </c>
      <c r="P2342">
        <f t="shared" si="275"/>
        <v>41155.5</v>
      </c>
      <c r="Q2342" t="str">
        <f t="shared" si="278"/>
        <v>food</v>
      </c>
      <c r="R2342" t="str">
        <f t="shared" si="279"/>
        <v>small batch</v>
      </c>
      <c r="S2342" s="9">
        <f t="shared" si="276"/>
        <v>42643.434467592589</v>
      </c>
      <c r="T2342" s="9">
        <f t="shared" si="277"/>
        <v>42673.434467592589</v>
      </c>
    </row>
    <row r="2343" spans="1:20" ht="29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74"/>
        <v>0</v>
      </c>
      <c r="P2343">
        <f t="shared" si="275"/>
        <v>2500</v>
      </c>
      <c r="Q2343" t="str">
        <f>IF(N2343="technology/web","technology")</f>
        <v>technology</v>
      </c>
      <c r="R2343" t="str">
        <f>IF(N2343="technology/web","web")</f>
        <v>web</v>
      </c>
      <c r="S2343" s="9">
        <f t="shared" si="276"/>
        <v>42167.605370370373</v>
      </c>
      <c r="T2343" s="9">
        <f t="shared" si="277"/>
        <v>42197.605370370373</v>
      </c>
    </row>
    <row r="2344" spans="1:20" ht="43.5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74"/>
        <v>0</v>
      </c>
      <c r="P2344">
        <f t="shared" si="275"/>
        <v>2750</v>
      </c>
      <c r="Q2344" t="str">
        <f t="shared" ref="Q2344:Q2402" si="280">IF(N2344="technology/web","technology")</f>
        <v>technology</v>
      </c>
      <c r="R2344" t="str">
        <f t="shared" ref="R2344:R2402" si="281">IF(N2344="technology/web","web")</f>
        <v>web</v>
      </c>
      <c r="S2344" s="9">
        <f t="shared" si="276"/>
        <v>41897.49386574074</v>
      </c>
      <c r="T2344" s="9">
        <f t="shared" si="277"/>
        <v>41918</v>
      </c>
    </row>
    <row r="2345" spans="1:20" ht="43.5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74"/>
        <v>0.03</v>
      </c>
      <c r="P2345">
        <f t="shared" si="275"/>
        <v>5150</v>
      </c>
      <c r="Q2345" t="str">
        <f t="shared" si="280"/>
        <v>technology</v>
      </c>
      <c r="R2345" t="str">
        <f t="shared" si="281"/>
        <v>web</v>
      </c>
      <c r="S2345" s="9">
        <f t="shared" si="276"/>
        <v>42327.616956018515</v>
      </c>
      <c r="T2345" s="9">
        <f t="shared" si="277"/>
        <v>42377.615972222215</v>
      </c>
    </row>
    <row r="2346" spans="1:20" ht="43.5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74"/>
        <v>1E-3</v>
      </c>
      <c r="P2346">
        <f t="shared" si="275"/>
        <v>500.5</v>
      </c>
      <c r="Q2346" t="str">
        <f t="shared" si="280"/>
        <v>technology</v>
      </c>
      <c r="R2346" t="str">
        <f t="shared" si="281"/>
        <v>web</v>
      </c>
      <c r="S2346" s="9">
        <f t="shared" si="276"/>
        <v>42515.519317129627</v>
      </c>
      <c r="T2346" s="9">
        <f t="shared" si="277"/>
        <v>42545.519317129627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74"/>
        <v>0</v>
      </c>
      <c r="P2347">
        <f t="shared" si="275"/>
        <v>1500</v>
      </c>
      <c r="Q2347" t="str">
        <f t="shared" si="280"/>
        <v>technology</v>
      </c>
      <c r="R2347" t="str">
        <f t="shared" si="281"/>
        <v>web</v>
      </c>
      <c r="S2347" s="9">
        <f t="shared" si="276"/>
        <v>42059.79347222222</v>
      </c>
      <c r="T2347" s="9">
        <f t="shared" si="277"/>
        <v>42094.777083333327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74"/>
        <v>6.4999999999999997E-4</v>
      </c>
      <c r="P2348">
        <f t="shared" si="275"/>
        <v>30019.5</v>
      </c>
      <c r="Q2348" t="str">
        <f t="shared" si="280"/>
        <v>technology</v>
      </c>
      <c r="R2348" t="str">
        <f t="shared" si="281"/>
        <v>web</v>
      </c>
      <c r="S2348" s="9">
        <f t="shared" si="276"/>
        <v>42615.590636574074</v>
      </c>
      <c r="T2348" s="9">
        <f t="shared" si="277"/>
        <v>42660.590636574074</v>
      </c>
    </row>
    <row r="2349" spans="1:20" ht="29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74"/>
        <v>1.4999999999999999E-2</v>
      </c>
      <c r="P2349">
        <f t="shared" si="275"/>
        <v>507.5</v>
      </c>
      <c r="Q2349" t="str">
        <f t="shared" si="280"/>
        <v>technology</v>
      </c>
      <c r="R2349" t="str">
        <f t="shared" si="281"/>
        <v>web</v>
      </c>
      <c r="S2349" s="9">
        <f t="shared" si="276"/>
        <v>42577.39902777777</v>
      </c>
      <c r="T2349" s="9">
        <f t="shared" si="277"/>
        <v>42607.39902777777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74"/>
        <v>3.8571428571428572E-3</v>
      </c>
      <c r="P2350">
        <f t="shared" si="275"/>
        <v>35135</v>
      </c>
      <c r="Q2350" t="str">
        <f t="shared" si="280"/>
        <v>technology</v>
      </c>
      <c r="R2350" t="str">
        <f t="shared" si="281"/>
        <v>web</v>
      </c>
      <c r="S2350" s="9">
        <f t="shared" si="276"/>
        <v>42360.723819444444</v>
      </c>
      <c r="T2350" s="9">
        <f t="shared" si="277"/>
        <v>42420.723819444444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74"/>
        <v>0</v>
      </c>
      <c r="P2351">
        <f t="shared" si="275"/>
        <v>237450</v>
      </c>
      <c r="Q2351" t="str">
        <f t="shared" si="280"/>
        <v>technology</v>
      </c>
      <c r="R2351" t="str">
        <f t="shared" si="281"/>
        <v>web</v>
      </c>
      <c r="S2351" s="9">
        <f t="shared" si="276"/>
        <v>42198.567453703705</v>
      </c>
      <c r="T2351" s="9">
        <f t="shared" si="277"/>
        <v>42227.567453703705</v>
      </c>
    </row>
    <row r="2352" spans="1:20" ht="29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74"/>
        <v>0</v>
      </c>
      <c r="P2352">
        <f t="shared" si="275"/>
        <v>25000</v>
      </c>
      <c r="Q2352" t="str">
        <f t="shared" si="280"/>
        <v>technology</v>
      </c>
      <c r="R2352" t="str">
        <f t="shared" si="281"/>
        <v>web</v>
      </c>
      <c r="S2352" s="9">
        <f t="shared" si="276"/>
        <v>42708.633912037032</v>
      </c>
      <c r="T2352" s="9">
        <f t="shared" si="277"/>
        <v>42738.633912037032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74"/>
        <v>5.7142857142857143E-3</v>
      </c>
      <c r="P2353">
        <f t="shared" si="275"/>
        <v>9504</v>
      </c>
      <c r="Q2353" t="str">
        <f t="shared" si="280"/>
        <v>technology</v>
      </c>
      <c r="R2353" t="str">
        <f t="shared" si="281"/>
        <v>web</v>
      </c>
      <c r="S2353" s="9">
        <f t="shared" si="276"/>
        <v>42093.892812500002</v>
      </c>
      <c r="T2353" s="9">
        <f t="shared" si="277"/>
        <v>42123.892812500002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74"/>
        <v>0</v>
      </c>
      <c r="P2354">
        <f t="shared" si="275"/>
        <v>1000</v>
      </c>
      <c r="Q2354" t="str">
        <f t="shared" si="280"/>
        <v>technology</v>
      </c>
      <c r="R2354" t="str">
        <f t="shared" si="281"/>
        <v>web</v>
      </c>
      <c r="S2354" s="9">
        <f t="shared" si="276"/>
        <v>42101.425370370365</v>
      </c>
      <c r="T2354" s="9">
        <f t="shared" si="277"/>
        <v>42161.425370370365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74"/>
        <v>0</v>
      </c>
      <c r="P2355">
        <f t="shared" si="275"/>
        <v>500</v>
      </c>
      <c r="Q2355" t="str">
        <f t="shared" si="280"/>
        <v>technology</v>
      </c>
      <c r="R2355" t="str">
        <f t="shared" si="281"/>
        <v>web</v>
      </c>
      <c r="S2355" s="9">
        <f t="shared" si="276"/>
        <v>42103.467847222222</v>
      </c>
      <c r="T2355" s="9">
        <f t="shared" si="277"/>
        <v>42115.467847222222</v>
      </c>
    </row>
    <row r="2356" spans="1:20" ht="29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74"/>
        <v>7.1428571428571429E-4</v>
      </c>
      <c r="P2356">
        <f t="shared" si="275"/>
        <v>17512.5</v>
      </c>
      <c r="Q2356" t="str">
        <f t="shared" si="280"/>
        <v>technology</v>
      </c>
      <c r="R2356" t="str">
        <f t="shared" si="281"/>
        <v>web</v>
      </c>
      <c r="S2356" s="9">
        <f t="shared" si="276"/>
        <v>41954.51458333333</v>
      </c>
      <c r="T2356" s="9">
        <f t="shared" si="277"/>
        <v>42014.51458333333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74"/>
        <v>6.875E-3</v>
      </c>
      <c r="P2357">
        <f t="shared" si="275"/>
        <v>4027.5</v>
      </c>
      <c r="Q2357" t="str">
        <f t="shared" si="280"/>
        <v>technology</v>
      </c>
      <c r="R2357" t="str">
        <f t="shared" si="281"/>
        <v>web</v>
      </c>
      <c r="S2357" s="9">
        <f t="shared" si="276"/>
        <v>42096.709907407407</v>
      </c>
      <c r="T2357" s="9">
        <f t="shared" si="277"/>
        <v>42126.709907407407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74"/>
        <v>0</v>
      </c>
      <c r="P2358">
        <f t="shared" si="275"/>
        <v>5000</v>
      </c>
      <c r="Q2358" t="str">
        <f t="shared" si="280"/>
        <v>technology</v>
      </c>
      <c r="R2358" t="str">
        <f t="shared" si="281"/>
        <v>web</v>
      </c>
      <c r="S2358" s="9">
        <f t="shared" si="276"/>
        <v>42130.575277777774</v>
      </c>
      <c r="T2358" s="9">
        <f t="shared" si="277"/>
        <v>42160.575277777774</v>
      </c>
    </row>
    <row r="2359" spans="1:20" ht="29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74"/>
        <v>0</v>
      </c>
      <c r="P2359">
        <f t="shared" si="275"/>
        <v>13500</v>
      </c>
      <c r="Q2359" t="str">
        <f t="shared" si="280"/>
        <v>technology</v>
      </c>
      <c r="R2359" t="str">
        <f t="shared" si="281"/>
        <v>web</v>
      </c>
      <c r="S2359" s="9">
        <f t="shared" si="276"/>
        <v>42264.411782407406</v>
      </c>
      <c r="T2359" s="9">
        <f t="shared" si="277"/>
        <v>42294.411782407406</v>
      </c>
    </row>
    <row r="2360" spans="1:20" ht="29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74"/>
        <v>0</v>
      </c>
      <c r="P2360">
        <f t="shared" si="275"/>
        <v>750</v>
      </c>
      <c r="Q2360" t="str">
        <f t="shared" si="280"/>
        <v>technology</v>
      </c>
      <c r="R2360" t="str">
        <f t="shared" si="281"/>
        <v>web</v>
      </c>
      <c r="S2360" s="9">
        <f t="shared" si="276"/>
        <v>41978.722638888888</v>
      </c>
      <c r="T2360" s="9">
        <f t="shared" si="277"/>
        <v>42034.818749999999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74"/>
        <v>0.14680000000000001</v>
      </c>
      <c r="P2361">
        <f t="shared" si="275"/>
        <v>4300.5</v>
      </c>
      <c r="Q2361" t="str">
        <f t="shared" si="280"/>
        <v>technology</v>
      </c>
      <c r="R2361" t="str">
        <f t="shared" si="281"/>
        <v>web</v>
      </c>
      <c r="S2361" s="9">
        <f t="shared" si="276"/>
        <v>42159.441249999996</v>
      </c>
      <c r="T2361" s="9">
        <f t="shared" si="277"/>
        <v>42219.441249999996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74"/>
        <v>4.0000000000000002E-4</v>
      </c>
      <c r="P2362">
        <f t="shared" si="275"/>
        <v>2501</v>
      </c>
      <c r="Q2362" t="str">
        <f t="shared" si="280"/>
        <v>technology</v>
      </c>
      <c r="R2362" t="str">
        <f t="shared" si="281"/>
        <v>web</v>
      </c>
      <c r="S2362" s="9">
        <f t="shared" si="276"/>
        <v>42377.498611111114</v>
      </c>
      <c r="T2362" s="9">
        <f t="shared" si="277"/>
        <v>42407.498611111114</v>
      </c>
    </row>
    <row r="2363" spans="1:20" ht="43.5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74"/>
        <v>0</v>
      </c>
      <c r="P2363">
        <f t="shared" si="275"/>
        <v>100</v>
      </c>
      <c r="Q2363" t="str">
        <f t="shared" si="280"/>
        <v>technology</v>
      </c>
      <c r="R2363" t="str">
        <f t="shared" si="281"/>
        <v>web</v>
      </c>
      <c r="S2363" s="9">
        <f t="shared" si="276"/>
        <v>42466.650555555556</v>
      </c>
      <c r="T2363" s="9">
        <f t="shared" si="277"/>
        <v>42490.708333333336</v>
      </c>
    </row>
    <row r="2364" spans="1:20" ht="29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74"/>
        <v>0.2857142857142857</v>
      </c>
      <c r="P2364">
        <f t="shared" si="275"/>
        <v>270</v>
      </c>
      <c r="Q2364" t="str">
        <f t="shared" si="280"/>
        <v>technology</v>
      </c>
      <c r="R2364" t="str">
        <f t="shared" si="281"/>
        <v>web</v>
      </c>
      <c r="S2364" s="9">
        <f t="shared" si="276"/>
        <v>41954.47997685185</v>
      </c>
      <c r="T2364" s="9">
        <f t="shared" si="277"/>
        <v>41984.47997685185</v>
      </c>
    </row>
    <row r="2365" spans="1:20" ht="43.5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74"/>
        <v>0</v>
      </c>
      <c r="P2365">
        <f t="shared" si="275"/>
        <v>87500</v>
      </c>
      <c r="Q2365" t="str">
        <f t="shared" si="280"/>
        <v>technology</v>
      </c>
      <c r="R2365" t="str">
        <f t="shared" si="281"/>
        <v>web</v>
      </c>
      <c r="S2365" s="9">
        <f t="shared" si="276"/>
        <v>42321.803240740737</v>
      </c>
      <c r="T2365" s="9">
        <f t="shared" si="277"/>
        <v>42366.803240740737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74"/>
        <v>0</v>
      </c>
      <c r="P2366">
        <f t="shared" si="275"/>
        <v>64</v>
      </c>
      <c r="Q2366" t="str">
        <f t="shared" si="280"/>
        <v>technology</v>
      </c>
      <c r="R2366" t="str">
        <f t="shared" si="281"/>
        <v>web</v>
      </c>
      <c r="S2366" s="9">
        <f t="shared" si="276"/>
        <v>42248.726342592585</v>
      </c>
      <c r="T2366" s="9">
        <f t="shared" si="277"/>
        <v>42303.726342592585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74"/>
        <v>0</v>
      </c>
      <c r="P2367">
        <f t="shared" si="275"/>
        <v>500</v>
      </c>
      <c r="Q2367" t="str">
        <f t="shared" si="280"/>
        <v>technology</v>
      </c>
      <c r="R2367" t="str">
        <f t="shared" si="281"/>
        <v>web</v>
      </c>
      <c r="S2367" s="9">
        <f t="shared" si="276"/>
        <v>42346.528067129628</v>
      </c>
      <c r="T2367" s="9">
        <f t="shared" si="277"/>
        <v>42386.749999999993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74"/>
        <v>0.1052</v>
      </c>
      <c r="P2368">
        <f t="shared" si="275"/>
        <v>13815</v>
      </c>
      <c r="Q2368" t="str">
        <f t="shared" si="280"/>
        <v>technology</v>
      </c>
      <c r="R2368" t="str">
        <f t="shared" si="281"/>
        <v>web</v>
      </c>
      <c r="S2368" s="9">
        <f t="shared" si="276"/>
        <v>42268.323298611103</v>
      </c>
      <c r="T2368" s="9">
        <f t="shared" si="277"/>
        <v>42298.323298611103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74"/>
        <v>1.34E-2</v>
      </c>
      <c r="P2369">
        <f t="shared" si="275"/>
        <v>25335</v>
      </c>
      <c r="Q2369" t="str">
        <f t="shared" si="280"/>
        <v>technology</v>
      </c>
      <c r="R2369" t="str">
        <f t="shared" si="281"/>
        <v>web</v>
      </c>
      <c r="S2369" s="9">
        <f t="shared" si="276"/>
        <v>42425.761759259258</v>
      </c>
      <c r="T2369" s="9">
        <f t="shared" si="277"/>
        <v>42485.720092592594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74"/>
        <v>2.5000000000000001E-3</v>
      </c>
      <c r="P2370">
        <f t="shared" si="275"/>
        <v>20050</v>
      </c>
      <c r="Q2370" t="str">
        <f t="shared" si="280"/>
        <v>technology</v>
      </c>
      <c r="R2370" t="str">
        <f t="shared" si="281"/>
        <v>web</v>
      </c>
      <c r="S2370" s="9">
        <f t="shared" si="276"/>
        <v>42063.513483796291</v>
      </c>
      <c r="T2370" s="9">
        <f t="shared" si="277"/>
        <v>42108.471817129626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82">E2371/D2371</f>
        <v>0</v>
      </c>
      <c r="P2371">
        <f t="shared" ref="P2371:P2434" si="283">AVERAGE(D2371:E2371)</f>
        <v>12500</v>
      </c>
      <c r="Q2371" t="str">
        <f t="shared" si="280"/>
        <v>technology</v>
      </c>
      <c r="R2371" t="str">
        <f t="shared" si="281"/>
        <v>web</v>
      </c>
      <c r="S2371" s="9">
        <f t="shared" ref="S2371:S2434" si="284">J2371/86400+25569+(-5/24)</f>
        <v>42380.60429398148</v>
      </c>
      <c r="T2371" s="9">
        <f t="shared" si="277"/>
        <v>42410.60429398148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82"/>
        <v>3.2799999999999999E-3</v>
      </c>
      <c r="P2372">
        <f t="shared" si="283"/>
        <v>12541</v>
      </c>
      <c r="Q2372" t="str">
        <f t="shared" si="280"/>
        <v>technology</v>
      </c>
      <c r="R2372" t="str">
        <f t="shared" si="281"/>
        <v>web</v>
      </c>
      <c r="S2372" s="9">
        <f t="shared" si="284"/>
        <v>41960.980798611105</v>
      </c>
      <c r="T2372" s="9">
        <f t="shared" ref="T2372:T2435" si="285">I2372/86400+25569+(-5/24)</f>
        <v>41990.980798611105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82"/>
        <v>0</v>
      </c>
      <c r="P2373">
        <f t="shared" si="283"/>
        <v>1000</v>
      </c>
      <c r="Q2373" t="str">
        <f t="shared" si="280"/>
        <v>technology</v>
      </c>
      <c r="R2373" t="str">
        <f t="shared" si="281"/>
        <v>web</v>
      </c>
      <c r="S2373" s="9">
        <f t="shared" si="284"/>
        <v>42150.569398148145</v>
      </c>
      <c r="T2373" s="9">
        <f t="shared" si="285"/>
        <v>42180.569398148145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82"/>
        <v>3.272727272727273E-2</v>
      </c>
      <c r="P2374">
        <f t="shared" si="283"/>
        <v>2840</v>
      </c>
      <c r="Q2374" t="str">
        <f t="shared" si="280"/>
        <v>technology</v>
      </c>
      <c r="R2374" t="str">
        <f t="shared" si="281"/>
        <v>web</v>
      </c>
      <c r="S2374" s="9">
        <f t="shared" si="284"/>
        <v>42087.860775462956</v>
      </c>
      <c r="T2374" s="9">
        <f t="shared" si="285"/>
        <v>42117.860775462956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82"/>
        <v>5.8823529411764708E-5</v>
      </c>
      <c r="P2375">
        <f t="shared" si="283"/>
        <v>425025</v>
      </c>
      <c r="Q2375" t="str">
        <f t="shared" si="280"/>
        <v>technology</v>
      </c>
      <c r="R2375" t="str">
        <f t="shared" si="281"/>
        <v>web</v>
      </c>
      <c r="S2375" s="9">
        <f t="shared" si="284"/>
        <v>42215.453981481478</v>
      </c>
      <c r="T2375" s="9">
        <f t="shared" si="285"/>
        <v>42245.453981481478</v>
      </c>
    </row>
    <row r="2376" spans="1:20" ht="43.5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82"/>
        <v>4.5454545454545455E-4</v>
      </c>
      <c r="P2376">
        <f t="shared" si="283"/>
        <v>11005</v>
      </c>
      <c r="Q2376" t="str">
        <f t="shared" si="280"/>
        <v>technology</v>
      </c>
      <c r="R2376" t="str">
        <f t="shared" si="281"/>
        <v>web</v>
      </c>
      <c r="S2376" s="9">
        <f t="shared" si="284"/>
        <v>42017.634953703702</v>
      </c>
      <c r="T2376" s="9">
        <f t="shared" si="285"/>
        <v>42047.634953703702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82"/>
        <v>0</v>
      </c>
      <c r="P2377">
        <f t="shared" si="283"/>
        <v>5000</v>
      </c>
      <c r="Q2377" t="str">
        <f t="shared" si="280"/>
        <v>technology</v>
      </c>
      <c r="R2377" t="str">
        <f t="shared" si="281"/>
        <v>web</v>
      </c>
      <c r="S2377" s="9">
        <f t="shared" si="284"/>
        <v>42592.627743055556</v>
      </c>
      <c r="T2377" s="9">
        <f t="shared" si="285"/>
        <v>42622.627743055556</v>
      </c>
    </row>
    <row r="2378" spans="1:20" ht="29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82"/>
        <v>0.10877666666666666</v>
      </c>
      <c r="P2378">
        <f t="shared" si="283"/>
        <v>1663.165</v>
      </c>
      <c r="Q2378" t="str">
        <f t="shared" si="280"/>
        <v>technology</v>
      </c>
      <c r="R2378" t="str">
        <f t="shared" si="281"/>
        <v>web</v>
      </c>
      <c r="S2378" s="9">
        <f t="shared" si="284"/>
        <v>42318.717199074068</v>
      </c>
      <c r="T2378" s="9">
        <f t="shared" si="285"/>
        <v>42348.717199074068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82"/>
        <v>0</v>
      </c>
      <c r="P2379">
        <f t="shared" si="283"/>
        <v>1250</v>
      </c>
      <c r="Q2379" t="str">
        <f t="shared" si="280"/>
        <v>technology</v>
      </c>
      <c r="R2379" t="str">
        <f t="shared" si="281"/>
        <v>web</v>
      </c>
      <c r="S2379" s="9">
        <f t="shared" si="284"/>
        <v>42669.661840277775</v>
      </c>
      <c r="T2379" s="9">
        <f t="shared" si="285"/>
        <v>42699.703506944446</v>
      </c>
    </row>
    <row r="2380" spans="1:20" ht="29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82"/>
        <v>0</v>
      </c>
      <c r="P2380">
        <f t="shared" si="283"/>
        <v>55000</v>
      </c>
      <c r="Q2380" t="str">
        <f t="shared" si="280"/>
        <v>technology</v>
      </c>
      <c r="R2380" t="str">
        <f t="shared" si="281"/>
        <v>web</v>
      </c>
      <c r="S2380" s="9">
        <f t="shared" si="284"/>
        <v>42212.804745370369</v>
      </c>
      <c r="T2380" s="9">
        <f t="shared" si="285"/>
        <v>42241.804745370369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82"/>
        <v>0</v>
      </c>
      <c r="P2381">
        <f t="shared" si="283"/>
        <v>15000</v>
      </c>
      <c r="Q2381" t="str">
        <f t="shared" si="280"/>
        <v>technology</v>
      </c>
      <c r="R2381" t="str">
        <f t="shared" si="281"/>
        <v>web</v>
      </c>
      <c r="S2381" s="9">
        <f t="shared" si="284"/>
        <v>42236.808055555557</v>
      </c>
      <c r="T2381" s="9">
        <f t="shared" si="285"/>
        <v>42281.808055555557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82"/>
        <v>3.6666666666666666E-3</v>
      </c>
      <c r="P2382">
        <f t="shared" si="283"/>
        <v>7527.5</v>
      </c>
      <c r="Q2382" t="str">
        <f t="shared" si="280"/>
        <v>technology</v>
      </c>
      <c r="R2382" t="str">
        <f t="shared" si="281"/>
        <v>web</v>
      </c>
      <c r="S2382" s="9">
        <f t="shared" si="284"/>
        <v>42248.584976851846</v>
      </c>
      <c r="T2382" s="9">
        <f t="shared" si="285"/>
        <v>42278.584976851846</v>
      </c>
    </row>
    <row r="2383" spans="1:20" ht="29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82"/>
        <v>1.8193398957730169E-2</v>
      </c>
      <c r="P2383">
        <f t="shared" si="283"/>
        <v>43960.5</v>
      </c>
      <c r="Q2383" t="str">
        <f t="shared" si="280"/>
        <v>technology</v>
      </c>
      <c r="R2383" t="str">
        <f t="shared" si="281"/>
        <v>web</v>
      </c>
      <c r="S2383" s="9">
        <f t="shared" si="284"/>
        <v>42074.727407407401</v>
      </c>
      <c r="T2383" s="9">
        <f t="shared" si="285"/>
        <v>42104.727407407401</v>
      </c>
    </row>
    <row r="2384" spans="1:20" ht="43.5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82"/>
        <v>2.5000000000000001E-2</v>
      </c>
      <c r="P2384">
        <f t="shared" si="283"/>
        <v>1537.5</v>
      </c>
      <c r="Q2384" t="str">
        <f t="shared" si="280"/>
        <v>technology</v>
      </c>
      <c r="R2384" t="str">
        <f t="shared" si="281"/>
        <v>web</v>
      </c>
      <c r="S2384" s="9">
        <f t="shared" si="284"/>
        <v>42194.979201388887</v>
      </c>
      <c r="T2384" s="9">
        <f t="shared" si="285"/>
        <v>42219.979201388887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82"/>
        <v>4.3499999999999997E-2</v>
      </c>
      <c r="P2385">
        <f t="shared" si="283"/>
        <v>5217.5</v>
      </c>
      <c r="Q2385" t="str">
        <f t="shared" si="280"/>
        <v>technology</v>
      </c>
      <c r="R2385" t="str">
        <f t="shared" si="281"/>
        <v>web</v>
      </c>
      <c r="S2385" s="9">
        <f t="shared" si="284"/>
        <v>42026.848460648143</v>
      </c>
      <c r="T2385" s="9">
        <f t="shared" si="285"/>
        <v>42056.848460648143</v>
      </c>
    </row>
    <row r="2386" spans="1:20" ht="43.5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82"/>
        <v>8.0000000000000002E-3</v>
      </c>
      <c r="P2386">
        <f t="shared" si="283"/>
        <v>504</v>
      </c>
      <c r="Q2386" t="str">
        <f t="shared" si="280"/>
        <v>technology</v>
      </c>
      <c r="R2386" t="str">
        <f t="shared" si="281"/>
        <v>web</v>
      </c>
      <c r="S2386" s="9">
        <f t="shared" si="284"/>
        <v>41926.859293981477</v>
      </c>
      <c r="T2386" s="9">
        <f t="shared" si="285"/>
        <v>41956.900960648149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82"/>
        <v>1.2123076923076924E-2</v>
      </c>
      <c r="P2387">
        <f t="shared" si="283"/>
        <v>32894</v>
      </c>
      <c r="Q2387" t="str">
        <f t="shared" si="280"/>
        <v>technology</v>
      </c>
      <c r="R2387" t="str">
        <f t="shared" si="281"/>
        <v>web</v>
      </c>
      <c r="S2387" s="9">
        <f t="shared" si="284"/>
        <v>42191.493425925924</v>
      </c>
      <c r="T2387" s="9">
        <f t="shared" si="285"/>
        <v>42221.493425925924</v>
      </c>
    </row>
    <row r="2388" spans="1:20" ht="29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82"/>
        <v>0</v>
      </c>
      <c r="P2388">
        <f t="shared" si="283"/>
        <v>15000</v>
      </c>
      <c r="Q2388" t="str">
        <f t="shared" si="280"/>
        <v>technology</v>
      </c>
      <c r="R2388" t="str">
        <f t="shared" si="281"/>
        <v>web</v>
      </c>
      <c r="S2388" s="9">
        <f t="shared" si="284"/>
        <v>41954.629907407405</v>
      </c>
      <c r="T2388" s="9">
        <f t="shared" si="285"/>
        <v>42014.629907407405</v>
      </c>
    </row>
    <row r="2389" spans="1:20" ht="43.5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82"/>
        <v>6.8399999999999997E-3</v>
      </c>
      <c r="P2389">
        <f t="shared" si="283"/>
        <v>75513</v>
      </c>
      <c r="Q2389" t="str">
        <f t="shared" si="280"/>
        <v>technology</v>
      </c>
      <c r="R2389" t="str">
        <f t="shared" si="281"/>
        <v>web</v>
      </c>
      <c r="S2389" s="9">
        <f t="shared" si="284"/>
        <v>42528.418287037035</v>
      </c>
      <c r="T2389" s="9">
        <f t="shared" si="285"/>
        <v>42573.418287037035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82"/>
        <v>1.2513513513513513E-2</v>
      </c>
      <c r="P2390">
        <f t="shared" si="283"/>
        <v>18731.5</v>
      </c>
      <c r="Q2390" t="str">
        <f t="shared" si="280"/>
        <v>technology</v>
      </c>
      <c r="R2390" t="str">
        <f t="shared" si="281"/>
        <v>web</v>
      </c>
      <c r="S2390" s="9">
        <f t="shared" si="284"/>
        <v>41989.645358796297</v>
      </c>
      <c r="T2390" s="9">
        <f t="shared" si="285"/>
        <v>42019.603472222218</v>
      </c>
    </row>
    <row r="2391" spans="1:20" ht="43.5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82"/>
        <v>1.8749999999999999E-3</v>
      </c>
      <c r="P2391">
        <f t="shared" si="283"/>
        <v>8015</v>
      </c>
      <c r="Q2391" t="str">
        <f t="shared" si="280"/>
        <v>technology</v>
      </c>
      <c r="R2391" t="str">
        <f t="shared" si="281"/>
        <v>web</v>
      </c>
      <c r="S2391" s="9">
        <f t="shared" si="284"/>
        <v>42179.445046296292</v>
      </c>
      <c r="T2391" s="9">
        <f t="shared" si="285"/>
        <v>42210.707638888889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82"/>
        <v>0</v>
      </c>
      <c r="P2392">
        <f t="shared" si="283"/>
        <v>255000</v>
      </c>
      <c r="Q2392" t="str">
        <f t="shared" si="280"/>
        <v>technology</v>
      </c>
      <c r="R2392" t="str">
        <f t="shared" si="281"/>
        <v>web</v>
      </c>
      <c r="S2392" s="9">
        <f t="shared" si="284"/>
        <v>41968.053981481477</v>
      </c>
      <c r="T2392" s="9">
        <f t="shared" si="285"/>
        <v>42008.053981481477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82"/>
        <v>1.25E-3</v>
      </c>
      <c r="P2393">
        <f t="shared" si="283"/>
        <v>10012.5</v>
      </c>
      <c r="Q2393" t="str">
        <f t="shared" si="280"/>
        <v>technology</v>
      </c>
      <c r="R2393" t="str">
        <f t="shared" si="281"/>
        <v>web</v>
      </c>
      <c r="S2393" s="9">
        <f t="shared" si="284"/>
        <v>42064.586157407401</v>
      </c>
      <c r="T2393" s="9">
        <f t="shared" si="285"/>
        <v>42094.544490740744</v>
      </c>
    </row>
    <row r="2394" spans="1:20" ht="43.5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82"/>
        <v>0</v>
      </c>
      <c r="P2394">
        <f t="shared" si="283"/>
        <v>2100</v>
      </c>
      <c r="Q2394" t="str">
        <f t="shared" si="280"/>
        <v>technology</v>
      </c>
      <c r="R2394" t="str">
        <f t="shared" si="281"/>
        <v>web</v>
      </c>
      <c r="S2394" s="9">
        <f t="shared" si="284"/>
        <v>42275.912303240737</v>
      </c>
      <c r="T2394" s="9">
        <f t="shared" si="285"/>
        <v>42305.912303240737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82"/>
        <v>5.0000000000000001E-4</v>
      </c>
      <c r="P2395">
        <f t="shared" si="283"/>
        <v>50025</v>
      </c>
      <c r="Q2395" t="str">
        <f t="shared" si="280"/>
        <v>technology</v>
      </c>
      <c r="R2395" t="str">
        <f t="shared" si="281"/>
        <v>web</v>
      </c>
      <c r="S2395" s="9">
        <f t="shared" si="284"/>
        <v>42194.440011574072</v>
      </c>
      <c r="T2395" s="9">
        <f t="shared" si="285"/>
        <v>42224.440011574072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82"/>
        <v>5.9999999999999995E-4</v>
      </c>
      <c r="P2396">
        <f t="shared" si="283"/>
        <v>2501.5</v>
      </c>
      <c r="Q2396" t="str">
        <f t="shared" si="280"/>
        <v>technology</v>
      </c>
      <c r="R2396" t="str">
        <f t="shared" si="281"/>
        <v>web</v>
      </c>
      <c r="S2396" s="9">
        <f t="shared" si="284"/>
        <v>42031.15385416666</v>
      </c>
      <c r="T2396" s="9">
        <f t="shared" si="285"/>
        <v>42061.15385416666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82"/>
        <v>0</v>
      </c>
      <c r="P2397">
        <f t="shared" si="283"/>
        <v>16500</v>
      </c>
      <c r="Q2397" t="str">
        <f t="shared" si="280"/>
        <v>technology</v>
      </c>
      <c r="R2397" t="str">
        <f t="shared" si="281"/>
        <v>web</v>
      </c>
      <c r="S2397" s="9">
        <f t="shared" si="284"/>
        <v>42716.913043981483</v>
      </c>
      <c r="T2397" s="9">
        <f t="shared" si="285"/>
        <v>42745.164583333331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82"/>
        <v>2E-3</v>
      </c>
      <c r="P2398">
        <f t="shared" si="283"/>
        <v>2505</v>
      </c>
      <c r="Q2398" t="str">
        <f t="shared" si="280"/>
        <v>technology</v>
      </c>
      <c r="R2398" t="str">
        <f t="shared" si="281"/>
        <v>web</v>
      </c>
      <c r="S2398" s="9">
        <f t="shared" si="284"/>
        <v>42262.640717592592</v>
      </c>
      <c r="T2398" s="9">
        <f t="shared" si="285"/>
        <v>42292.640717592592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82"/>
        <v>0</v>
      </c>
      <c r="P2399">
        <f t="shared" si="283"/>
        <v>62000</v>
      </c>
      <c r="Q2399" t="str">
        <f t="shared" si="280"/>
        <v>technology</v>
      </c>
      <c r="R2399" t="str">
        <f t="shared" si="281"/>
        <v>web</v>
      </c>
      <c r="S2399" s="9">
        <f t="shared" si="284"/>
        <v>41976.676574074074</v>
      </c>
      <c r="T2399" s="9">
        <f t="shared" si="285"/>
        <v>42006.676574074074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82"/>
        <v>0</v>
      </c>
      <c r="P2400">
        <f t="shared" si="283"/>
        <v>2000</v>
      </c>
      <c r="Q2400" t="str">
        <f t="shared" si="280"/>
        <v>technology</v>
      </c>
      <c r="R2400" t="str">
        <f t="shared" si="281"/>
        <v>web</v>
      </c>
      <c r="S2400" s="9">
        <f t="shared" si="284"/>
        <v>42157.708148148151</v>
      </c>
      <c r="T2400" s="9">
        <f t="shared" si="285"/>
        <v>42187.708148148151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82"/>
        <v>0</v>
      </c>
      <c r="P2401">
        <f t="shared" si="283"/>
        <v>6500</v>
      </c>
      <c r="Q2401" t="str">
        <f t="shared" si="280"/>
        <v>technology</v>
      </c>
      <c r="R2401" t="str">
        <f t="shared" si="281"/>
        <v>web</v>
      </c>
      <c r="S2401" s="9">
        <f t="shared" si="284"/>
        <v>41956.644745370366</v>
      </c>
      <c r="T2401" s="9">
        <f t="shared" si="285"/>
        <v>41991.644745370366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82"/>
        <v>0</v>
      </c>
      <c r="P2402">
        <f t="shared" si="283"/>
        <v>25000</v>
      </c>
      <c r="Q2402" t="str">
        <f t="shared" si="280"/>
        <v>technology</v>
      </c>
      <c r="R2402" t="str">
        <f t="shared" si="281"/>
        <v>web</v>
      </c>
      <c r="S2402" s="9">
        <f t="shared" si="284"/>
        <v>42444.059768518513</v>
      </c>
      <c r="T2402" s="9">
        <f t="shared" si="285"/>
        <v>42474.059768518513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82"/>
        <v>7.1785714285714283E-3</v>
      </c>
      <c r="P2403">
        <f t="shared" si="283"/>
        <v>14100.5</v>
      </c>
      <c r="Q2403" t="str">
        <f>IF(N2403="food/food trucks","food")</f>
        <v>food</v>
      </c>
      <c r="R2403" t="str">
        <f>IF(N2403="food/food trucks","food trucks")</f>
        <v>food trucks</v>
      </c>
      <c r="S2403" s="9">
        <f t="shared" si="284"/>
        <v>42374.614537037036</v>
      </c>
      <c r="T2403" s="9">
        <f t="shared" si="285"/>
        <v>42434.614537037036</v>
      </c>
    </row>
    <row r="2404" spans="1:20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82"/>
        <v>4.3333333333333331E-3</v>
      </c>
      <c r="P2404">
        <f t="shared" si="283"/>
        <v>6026</v>
      </c>
      <c r="Q2404" t="str">
        <f t="shared" ref="Q2404:Q2441" si="286">IF(N2404="food/food trucks","food")</f>
        <v>food</v>
      </c>
      <c r="R2404" t="str">
        <f t="shared" ref="R2404:R2442" si="287">IF(N2404="food/food trucks","food trucks")</f>
        <v>food trucks</v>
      </c>
      <c r="S2404" s="9">
        <f t="shared" si="284"/>
        <v>42107.47142361111</v>
      </c>
      <c r="T2404" s="9">
        <f t="shared" si="285"/>
        <v>42137.47142361111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82"/>
        <v>0.16833333333333333</v>
      </c>
      <c r="P2405">
        <f t="shared" si="283"/>
        <v>701</v>
      </c>
      <c r="Q2405" t="str">
        <f t="shared" si="286"/>
        <v>food</v>
      </c>
      <c r="R2405" t="str">
        <f t="shared" si="287"/>
        <v>food trucks</v>
      </c>
      <c r="S2405" s="9">
        <f t="shared" si="284"/>
        <v>42399.67428240741</v>
      </c>
      <c r="T2405" s="9">
        <f t="shared" si="285"/>
        <v>42459.632615740738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82"/>
        <v>0</v>
      </c>
      <c r="P2406">
        <f t="shared" si="283"/>
        <v>7500</v>
      </c>
      <c r="Q2406" t="str">
        <f t="shared" si="286"/>
        <v>food</v>
      </c>
      <c r="R2406" t="str">
        <f t="shared" si="287"/>
        <v>food trucks</v>
      </c>
      <c r="S2406" s="9">
        <f t="shared" si="284"/>
        <v>42341.831099537034</v>
      </c>
      <c r="T2406" s="9">
        <f t="shared" si="285"/>
        <v>42371.831099537034</v>
      </c>
    </row>
    <row r="2407" spans="1:20" ht="29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82"/>
        <v>0.22520000000000001</v>
      </c>
      <c r="P2407">
        <f t="shared" si="283"/>
        <v>3063</v>
      </c>
      <c r="Q2407" t="str">
        <f t="shared" si="286"/>
        <v>food</v>
      </c>
      <c r="R2407" t="str">
        <f t="shared" si="287"/>
        <v>food trucks</v>
      </c>
      <c r="S2407" s="9">
        <f t="shared" si="284"/>
        <v>42595.377025462956</v>
      </c>
      <c r="T2407" s="9">
        <f t="shared" si="285"/>
        <v>42616.377025462956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82"/>
        <v>0.41384615384615386</v>
      </c>
      <c r="P2408">
        <f t="shared" si="283"/>
        <v>2297.5</v>
      </c>
      <c r="Q2408" t="str">
        <f t="shared" si="286"/>
        <v>food</v>
      </c>
      <c r="R2408" t="str">
        <f t="shared" si="287"/>
        <v>food trucks</v>
      </c>
      <c r="S2408" s="9">
        <f t="shared" si="284"/>
        <v>41982.902662037035</v>
      </c>
      <c r="T2408" s="9">
        <f t="shared" si="285"/>
        <v>42022.902662037035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82"/>
        <v>0.25259090909090909</v>
      </c>
      <c r="P2409">
        <f t="shared" si="283"/>
        <v>13778.5</v>
      </c>
      <c r="Q2409" t="str">
        <f t="shared" si="286"/>
        <v>food</v>
      </c>
      <c r="R2409" t="str">
        <f t="shared" si="287"/>
        <v>food trucks</v>
      </c>
      <c r="S2409" s="9">
        <f t="shared" si="284"/>
        <v>42082.367222222216</v>
      </c>
      <c r="T2409" s="9">
        <f t="shared" si="285"/>
        <v>42105.041666666664</v>
      </c>
    </row>
    <row r="2410" spans="1:20" ht="29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82"/>
        <v>2E-3</v>
      </c>
      <c r="P2410">
        <f t="shared" si="283"/>
        <v>7515</v>
      </c>
      <c r="Q2410" t="str">
        <f t="shared" si="286"/>
        <v>food</v>
      </c>
      <c r="R2410" t="str">
        <f t="shared" si="287"/>
        <v>food trucks</v>
      </c>
      <c r="S2410" s="9">
        <f t="shared" si="284"/>
        <v>41918.93237268518</v>
      </c>
      <c r="T2410" s="9">
        <f t="shared" si="285"/>
        <v>41948.974039351851</v>
      </c>
    </row>
    <row r="2411" spans="1:20" ht="29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82"/>
        <v>1.84E-2</v>
      </c>
      <c r="P2411">
        <f t="shared" si="283"/>
        <v>12730</v>
      </c>
      <c r="Q2411" t="str">
        <f t="shared" si="286"/>
        <v>food</v>
      </c>
      <c r="R2411" t="str">
        <f t="shared" si="287"/>
        <v>food trucks</v>
      </c>
      <c r="S2411" s="9">
        <f t="shared" si="284"/>
        <v>42204.667534722219</v>
      </c>
      <c r="T2411" s="9">
        <f t="shared" si="285"/>
        <v>42234.667534722219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82"/>
        <v>0</v>
      </c>
      <c r="P2412">
        <f t="shared" si="283"/>
        <v>7500</v>
      </c>
      <c r="Q2412" t="str">
        <f t="shared" si="286"/>
        <v>food</v>
      </c>
      <c r="R2412" t="str">
        <f t="shared" si="287"/>
        <v>food trucks</v>
      </c>
      <c r="S2412" s="9">
        <f t="shared" si="284"/>
        <v>42224.199942129628</v>
      </c>
      <c r="T2412" s="9">
        <f t="shared" si="285"/>
        <v>42254.199942129628</v>
      </c>
    </row>
    <row r="2413" spans="1:20" ht="43.5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82"/>
        <v>6.0400000000000002E-3</v>
      </c>
      <c r="P2413">
        <f t="shared" si="283"/>
        <v>12575.5</v>
      </c>
      <c r="Q2413" t="str">
        <f t="shared" si="286"/>
        <v>food</v>
      </c>
      <c r="R2413" t="str">
        <f t="shared" si="287"/>
        <v>food trucks</v>
      </c>
      <c r="S2413" s="9">
        <f t="shared" si="284"/>
        <v>42211.524097222216</v>
      </c>
      <c r="T2413" s="9">
        <f t="shared" si="285"/>
        <v>42241.524097222216</v>
      </c>
    </row>
    <row r="2414" spans="1:20" ht="43.5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82"/>
        <v>0</v>
      </c>
      <c r="P2414">
        <f t="shared" si="283"/>
        <v>4000</v>
      </c>
      <c r="Q2414" t="str">
        <f t="shared" si="286"/>
        <v>food</v>
      </c>
      <c r="R2414" t="str">
        <f t="shared" si="287"/>
        <v>food trucks</v>
      </c>
      <c r="S2414" s="9">
        <f t="shared" si="284"/>
        <v>42655.528622685182</v>
      </c>
      <c r="T2414" s="9">
        <f t="shared" si="285"/>
        <v>42700.570289351854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82"/>
        <v>8.3333333333333332E-3</v>
      </c>
      <c r="P2415">
        <f t="shared" si="283"/>
        <v>1512.5</v>
      </c>
      <c r="Q2415" t="str">
        <f t="shared" si="286"/>
        <v>food</v>
      </c>
      <c r="R2415" t="str">
        <f t="shared" si="287"/>
        <v>food trucks</v>
      </c>
      <c r="S2415" s="9">
        <f t="shared" si="284"/>
        <v>41759.901412037034</v>
      </c>
      <c r="T2415" s="9">
        <f t="shared" si="285"/>
        <v>41790.770833333328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82"/>
        <v>3.0666666666666665E-2</v>
      </c>
      <c r="P2416">
        <f t="shared" si="283"/>
        <v>7730</v>
      </c>
      <c r="Q2416" t="str">
        <f t="shared" si="286"/>
        <v>food</v>
      </c>
      <c r="R2416" t="str">
        <f t="shared" si="287"/>
        <v>food trucks</v>
      </c>
      <c r="S2416" s="9">
        <f t="shared" si="284"/>
        <v>42198.486805555549</v>
      </c>
      <c r="T2416" s="9">
        <f t="shared" si="285"/>
        <v>42237.957638888889</v>
      </c>
    </row>
    <row r="2417" spans="1:20" ht="29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82"/>
        <v>5.5833333333333334E-3</v>
      </c>
      <c r="P2417">
        <f t="shared" si="283"/>
        <v>30167.5</v>
      </c>
      <c r="Q2417" t="str">
        <f t="shared" si="286"/>
        <v>food</v>
      </c>
      <c r="R2417" t="str">
        <f t="shared" si="287"/>
        <v>food trucks</v>
      </c>
      <c r="S2417" s="9">
        <f t="shared" si="284"/>
        <v>42536.654467592591</v>
      </c>
      <c r="T2417" s="9">
        <f t="shared" si="285"/>
        <v>42566.654467592591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82"/>
        <v>2.5000000000000001E-4</v>
      </c>
      <c r="P2418">
        <f t="shared" si="283"/>
        <v>10002.5</v>
      </c>
      <c r="Q2418" t="str">
        <f t="shared" si="286"/>
        <v>food</v>
      </c>
      <c r="R2418" t="str">
        <f t="shared" si="287"/>
        <v>food trucks</v>
      </c>
      <c r="S2418" s="9">
        <f t="shared" si="284"/>
        <v>42019.529432870368</v>
      </c>
      <c r="T2418" s="9">
        <f t="shared" si="285"/>
        <v>42077.416666666664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82"/>
        <v>0</v>
      </c>
      <c r="P2419">
        <f t="shared" si="283"/>
        <v>500</v>
      </c>
      <c r="Q2419" t="str">
        <f t="shared" si="286"/>
        <v>food</v>
      </c>
      <c r="R2419" t="str">
        <f t="shared" si="287"/>
        <v>food trucks</v>
      </c>
      <c r="S2419" s="9">
        <f t="shared" si="284"/>
        <v>41831.675775462958</v>
      </c>
      <c r="T2419" s="9">
        <f t="shared" si="285"/>
        <v>41861.675775462958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82"/>
        <v>2.0000000000000001E-4</v>
      </c>
      <c r="P2420">
        <f t="shared" si="283"/>
        <v>12502.5</v>
      </c>
      <c r="Q2420" t="str">
        <f t="shared" si="286"/>
        <v>food</v>
      </c>
      <c r="R2420" t="str">
        <f t="shared" si="287"/>
        <v>food trucks</v>
      </c>
      <c r="S2420" s="9">
        <f t="shared" si="284"/>
        <v>42027.648657407401</v>
      </c>
      <c r="T2420" s="9">
        <f t="shared" si="285"/>
        <v>42087.606990740744</v>
      </c>
    </row>
    <row r="2421" spans="1:20" ht="43.5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82"/>
        <v>0</v>
      </c>
      <c r="P2421">
        <f t="shared" si="283"/>
        <v>1500</v>
      </c>
      <c r="Q2421" t="str">
        <f t="shared" si="286"/>
        <v>food</v>
      </c>
      <c r="R2421" t="str">
        <f t="shared" si="287"/>
        <v>food trucks</v>
      </c>
      <c r="S2421" s="9">
        <f t="shared" si="284"/>
        <v>41993.529965277776</v>
      </c>
      <c r="T2421" s="9">
        <f t="shared" si="285"/>
        <v>42053.529965277776</v>
      </c>
    </row>
    <row r="2422" spans="1:20" ht="29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82"/>
        <v>0.14825133372851215</v>
      </c>
      <c r="P2422">
        <f t="shared" si="283"/>
        <v>9685.5</v>
      </c>
      <c r="Q2422" t="str">
        <f t="shared" si="286"/>
        <v>food</v>
      </c>
      <c r="R2422" t="str">
        <f t="shared" si="287"/>
        <v>food trucks</v>
      </c>
      <c r="S2422" s="9">
        <f t="shared" si="284"/>
        <v>41892.820543981477</v>
      </c>
      <c r="T2422" s="9">
        <f t="shared" si="285"/>
        <v>41952.862210648142</v>
      </c>
    </row>
    <row r="2423" spans="1:20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82"/>
        <v>1.6666666666666666E-4</v>
      </c>
      <c r="P2423">
        <f t="shared" si="283"/>
        <v>3000.5</v>
      </c>
      <c r="Q2423" t="str">
        <f t="shared" si="286"/>
        <v>food</v>
      </c>
      <c r="R2423" t="str">
        <f t="shared" si="287"/>
        <v>food trucks</v>
      </c>
      <c r="S2423" s="9">
        <f t="shared" si="284"/>
        <v>42026.479120370372</v>
      </c>
      <c r="T2423" s="9">
        <f t="shared" si="285"/>
        <v>42056.479120370372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82"/>
        <v>2E-3</v>
      </c>
      <c r="P2424">
        <f t="shared" si="283"/>
        <v>250.5</v>
      </c>
      <c r="Q2424" t="str">
        <f t="shared" si="286"/>
        <v>food</v>
      </c>
      <c r="R2424" t="str">
        <f t="shared" si="287"/>
        <v>food trucks</v>
      </c>
      <c r="S2424" s="9">
        <f t="shared" si="284"/>
        <v>42044.516620370363</v>
      </c>
      <c r="T2424" s="9">
        <f t="shared" si="285"/>
        <v>42074.474953703706</v>
      </c>
    </row>
    <row r="2425" spans="1:20" ht="29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82"/>
        <v>1.3333333333333334E-4</v>
      </c>
      <c r="P2425">
        <f t="shared" si="283"/>
        <v>30004</v>
      </c>
      <c r="Q2425" t="str">
        <f t="shared" si="286"/>
        <v>food</v>
      </c>
      <c r="R2425" t="str">
        <f t="shared" si="287"/>
        <v>food trucks</v>
      </c>
      <c r="S2425" s="9">
        <f t="shared" si="284"/>
        <v>41974.496412037035</v>
      </c>
      <c r="T2425" s="9">
        <f t="shared" si="285"/>
        <v>42004.496412037035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82"/>
        <v>1.24E-2</v>
      </c>
      <c r="P2426">
        <f t="shared" si="283"/>
        <v>12655</v>
      </c>
      <c r="Q2426" t="str">
        <f t="shared" si="286"/>
        <v>food</v>
      </c>
      <c r="R2426" t="str">
        <f t="shared" si="287"/>
        <v>food trucks</v>
      </c>
      <c r="S2426" s="9">
        <f t="shared" si="284"/>
        <v>41909.684120370366</v>
      </c>
      <c r="T2426" s="9">
        <f t="shared" si="285"/>
        <v>41939.684120370366</v>
      </c>
    </row>
    <row r="2427" spans="1:20" ht="43.5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82"/>
        <v>2.8571428571428574E-4</v>
      </c>
      <c r="P2427">
        <f t="shared" si="283"/>
        <v>1750.5</v>
      </c>
      <c r="Q2427" t="str">
        <f t="shared" si="286"/>
        <v>food</v>
      </c>
      <c r="R2427" t="str">
        <f t="shared" si="287"/>
        <v>food trucks</v>
      </c>
      <c r="S2427" s="9">
        <f t="shared" si="284"/>
        <v>42502.705428240741</v>
      </c>
      <c r="T2427" s="9">
        <f t="shared" si="285"/>
        <v>42517.711111111108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82"/>
        <v>0</v>
      </c>
      <c r="P2428">
        <f t="shared" si="283"/>
        <v>10000</v>
      </c>
      <c r="Q2428" t="str">
        <f t="shared" si="286"/>
        <v>food</v>
      </c>
      <c r="R2428" t="str">
        <f t="shared" si="287"/>
        <v>food trucks</v>
      </c>
      <c r="S2428" s="9">
        <f t="shared" si="284"/>
        <v>42163.961712962962</v>
      </c>
      <c r="T2428" s="9">
        <f t="shared" si="285"/>
        <v>42223.961712962962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82"/>
        <v>2.0000000000000002E-5</v>
      </c>
      <c r="P2429">
        <f t="shared" si="283"/>
        <v>25000.5</v>
      </c>
      <c r="Q2429" t="str">
        <f t="shared" si="286"/>
        <v>food</v>
      </c>
      <c r="R2429" t="str">
        <f t="shared" si="287"/>
        <v>food trucks</v>
      </c>
      <c r="S2429" s="9">
        <f t="shared" si="284"/>
        <v>42412.110335648147</v>
      </c>
      <c r="T2429" s="9">
        <f t="shared" si="285"/>
        <v>42452.068668981483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82"/>
        <v>2.8571428571428571E-5</v>
      </c>
      <c r="P2430">
        <f t="shared" si="283"/>
        <v>17500.5</v>
      </c>
      <c r="Q2430" t="str">
        <f t="shared" si="286"/>
        <v>food</v>
      </c>
      <c r="R2430" t="str">
        <f t="shared" si="287"/>
        <v>food trucks</v>
      </c>
      <c r="S2430" s="9">
        <f t="shared" si="284"/>
        <v>42045.575821759259</v>
      </c>
      <c r="T2430" s="9">
        <f t="shared" si="285"/>
        <v>42075.534155092588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82"/>
        <v>1.4321428571428572E-2</v>
      </c>
      <c r="P2431">
        <f t="shared" si="283"/>
        <v>71002.5</v>
      </c>
      <c r="Q2431" t="str">
        <f t="shared" si="286"/>
        <v>food</v>
      </c>
      <c r="R2431" t="str">
        <f t="shared" si="287"/>
        <v>food trucks</v>
      </c>
      <c r="S2431" s="9">
        <f t="shared" si="284"/>
        <v>42734.670902777776</v>
      </c>
      <c r="T2431" s="9">
        <f t="shared" si="285"/>
        <v>42771.488888888889</v>
      </c>
    </row>
    <row r="2432" spans="1:20" ht="43.5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82"/>
        <v>7.0000000000000001E-3</v>
      </c>
      <c r="P2432">
        <f t="shared" si="283"/>
        <v>1510.5</v>
      </c>
      <c r="Q2432" t="str">
        <f t="shared" si="286"/>
        <v>food</v>
      </c>
      <c r="R2432" t="str">
        <f t="shared" si="287"/>
        <v>food trucks</v>
      </c>
      <c r="S2432" s="9">
        <f t="shared" si="284"/>
        <v>42381.922499999993</v>
      </c>
      <c r="T2432" s="9">
        <f t="shared" si="285"/>
        <v>42411.922499999993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82"/>
        <v>2.0000000000000002E-5</v>
      </c>
      <c r="P2433">
        <f t="shared" si="283"/>
        <v>50001</v>
      </c>
      <c r="Q2433" t="str">
        <f t="shared" si="286"/>
        <v>food</v>
      </c>
      <c r="R2433" t="str">
        <f t="shared" si="287"/>
        <v>food trucks</v>
      </c>
      <c r="S2433" s="9">
        <f t="shared" si="284"/>
        <v>42488.891354166662</v>
      </c>
      <c r="T2433" s="9">
        <f t="shared" si="285"/>
        <v>42548.891354166662</v>
      </c>
    </row>
    <row r="2434" spans="1:20" ht="29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82"/>
        <v>1.4285714285714287E-4</v>
      </c>
      <c r="P2434">
        <f t="shared" si="283"/>
        <v>7001</v>
      </c>
      <c r="Q2434" t="str">
        <f t="shared" si="286"/>
        <v>food</v>
      </c>
      <c r="R2434" t="str">
        <f t="shared" si="287"/>
        <v>food trucks</v>
      </c>
      <c r="S2434" s="9">
        <f t="shared" si="284"/>
        <v>42041.010381944441</v>
      </c>
      <c r="T2434" s="9">
        <f t="shared" si="285"/>
        <v>42071.010381944441</v>
      </c>
    </row>
    <row r="2435" spans="1:20" ht="43.5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88">E2435/D2435</f>
        <v>0</v>
      </c>
      <c r="P2435">
        <f t="shared" ref="P2435:P2498" si="289">AVERAGE(D2435:E2435)</f>
        <v>5000</v>
      </c>
      <c r="Q2435" t="str">
        <f t="shared" si="286"/>
        <v>food</v>
      </c>
      <c r="R2435" t="str">
        <f t="shared" si="287"/>
        <v>food trucks</v>
      </c>
      <c r="S2435" s="9">
        <f t="shared" ref="S2435:S2498" si="290">J2435/86400+25569+(-5/24)</f>
        <v>42397.691469907404</v>
      </c>
      <c r="T2435" s="9">
        <f t="shared" si="285"/>
        <v>42427.691469907404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88"/>
        <v>1.2999999999999999E-3</v>
      </c>
      <c r="P2436">
        <f t="shared" si="289"/>
        <v>10013</v>
      </c>
      <c r="Q2436" t="str">
        <f t="shared" si="286"/>
        <v>food</v>
      </c>
      <c r="R2436" t="str">
        <f t="shared" si="287"/>
        <v>food trucks</v>
      </c>
      <c r="S2436" s="9">
        <f t="shared" si="290"/>
        <v>42179.977708333332</v>
      </c>
      <c r="T2436" s="9">
        <f t="shared" ref="T2436:T2499" si="291">I2436/86400+25569+(-5/24)</f>
        <v>42219.977708333332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88"/>
        <v>4.8960000000000002E-3</v>
      </c>
      <c r="P2437">
        <f t="shared" si="289"/>
        <v>125612</v>
      </c>
      <c r="Q2437" t="str">
        <f t="shared" si="286"/>
        <v>food</v>
      </c>
      <c r="R2437" t="str">
        <f t="shared" si="287"/>
        <v>food trucks</v>
      </c>
      <c r="S2437" s="9">
        <f t="shared" si="290"/>
        <v>42252.069282407407</v>
      </c>
      <c r="T2437" s="9">
        <f t="shared" si="291"/>
        <v>42282.069282407407</v>
      </c>
    </row>
    <row r="2438" spans="1:20" ht="43.5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88"/>
        <v>3.8461538461538462E-4</v>
      </c>
      <c r="P2438">
        <f t="shared" si="289"/>
        <v>58522.5</v>
      </c>
      <c r="Q2438" t="str">
        <f t="shared" si="286"/>
        <v>food</v>
      </c>
      <c r="R2438" t="str">
        <f t="shared" si="287"/>
        <v>food trucks</v>
      </c>
      <c r="S2438" s="9">
        <f t="shared" si="290"/>
        <v>42338.407060185178</v>
      </c>
      <c r="T2438" s="9">
        <f t="shared" si="291"/>
        <v>42398.407060185178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88"/>
        <v>0</v>
      </c>
      <c r="P2439">
        <f t="shared" si="289"/>
        <v>4000</v>
      </c>
      <c r="Q2439" t="str">
        <f t="shared" si="286"/>
        <v>food</v>
      </c>
      <c r="R2439" t="str">
        <f t="shared" si="287"/>
        <v>food trucks</v>
      </c>
      <c r="S2439" s="9">
        <f t="shared" si="290"/>
        <v>42031.756805555553</v>
      </c>
      <c r="T2439" s="9">
        <f t="shared" si="291"/>
        <v>42080.541666666664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88"/>
        <v>3.3333333333333335E-3</v>
      </c>
      <c r="P2440">
        <f t="shared" si="289"/>
        <v>7525</v>
      </c>
      <c r="Q2440" t="str">
        <f t="shared" si="286"/>
        <v>food</v>
      </c>
      <c r="R2440" t="str">
        <f t="shared" si="287"/>
        <v>food trucks</v>
      </c>
      <c r="S2440" s="9">
        <f t="shared" si="290"/>
        <v>42285.706736111104</v>
      </c>
      <c r="T2440" s="9">
        <f t="shared" si="291"/>
        <v>42345.748402777775</v>
      </c>
    </row>
    <row r="2441" spans="1:20" ht="43.5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88"/>
        <v>0</v>
      </c>
      <c r="P2441">
        <f t="shared" si="289"/>
        <v>5000</v>
      </c>
      <c r="Q2441" t="str">
        <f t="shared" si="286"/>
        <v>food</v>
      </c>
      <c r="R2441" t="str">
        <f t="shared" si="287"/>
        <v>food trucks</v>
      </c>
      <c r="S2441" s="9">
        <f t="shared" si="290"/>
        <v>42265.610289351847</v>
      </c>
      <c r="T2441" s="9">
        <f t="shared" si="291"/>
        <v>42295.610289351847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88"/>
        <v>2E-3</v>
      </c>
      <c r="P2442">
        <f t="shared" si="289"/>
        <v>2505</v>
      </c>
      <c r="Q2442" t="str">
        <f>IF(N2442="food/food trucks","food")</f>
        <v>food</v>
      </c>
      <c r="R2442" t="str">
        <f t="shared" si="287"/>
        <v>food trucks</v>
      </c>
      <c r="S2442" s="9">
        <f t="shared" si="290"/>
        <v>42383.691122685188</v>
      </c>
      <c r="T2442" s="9">
        <f t="shared" si="291"/>
        <v>42413.691122685188</v>
      </c>
    </row>
    <row r="2443" spans="1:20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88"/>
        <v>1.0788</v>
      </c>
      <c r="P2443">
        <f t="shared" si="289"/>
        <v>7795.5</v>
      </c>
      <c r="Q2443" t="str">
        <f>IF(N2443="food/small batch","food")</f>
        <v>food</v>
      </c>
      <c r="R2443" t="str">
        <f>IF(N2443="food/small batch","small batch")</f>
        <v>small batch</v>
      </c>
      <c r="S2443" s="9">
        <f t="shared" si="290"/>
        <v>42186.917291666665</v>
      </c>
      <c r="T2443" s="9">
        <f t="shared" si="291"/>
        <v>42207.999305555553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88"/>
        <v>1.2594166666666666</v>
      </c>
      <c r="P2444">
        <f t="shared" si="289"/>
        <v>27113</v>
      </c>
      <c r="Q2444" t="str">
        <f t="shared" ref="Q2444:Q2462" si="292">IF(N2444="food/small batch","food")</f>
        <v>food</v>
      </c>
      <c r="R2444" t="str">
        <f t="shared" ref="R2444:R2462" si="293">IF(N2444="food/small batch","small batch")</f>
        <v>small batch</v>
      </c>
      <c r="S2444" s="9">
        <f t="shared" si="290"/>
        <v>42052.458657407406</v>
      </c>
      <c r="T2444" s="9">
        <f t="shared" si="291"/>
        <v>42082.416990740741</v>
      </c>
    </row>
    <row r="2445" spans="1:20" ht="43.5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88"/>
        <v>2.0251494999999999</v>
      </c>
      <c r="P2445">
        <f t="shared" si="289"/>
        <v>30251.494999999999</v>
      </c>
      <c r="Q2445" t="str">
        <f t="shared" si="292"/>
        <v>food</v>
      </c>
      <c r="R2445" t="str">
        <f t="shared" si="293"/>
        <v>small batch</v>
      </c>
      <c r="S2445" s="9">
        <f t="shared" si="290"/>
        <v>41836.416921296295</v>
      </c>
      <c r="T2445" s="9">
        <f t="shared" si="291"/>
        <v>41866.416921296295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88"/>
        <v>1.0860000000000001</v>
      </c>
      <c r="P2446">
        <f t="shared" si="289"/>
        <v>3129</v>
      </c>
      <c r="Q2446" t="str">
        <f t="shared" si="292"/>
        <v>food</v>
      </c>
      <c r="R2446" t="str">
        <f t="shared" si="293"/>
        <v>small batch</v>
      </c>
      <c r="S2446" s="9">
        <f t="shared" si="290"/>
        <v>42485.54619212963</v>
      </c>
      <c r="T2446" s="9">
        <f t="shared" si="291"/>
        <v>42515.54619212963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88"/>
        <v>1.728</v>
      </c>
      <c r="P2447">
        <f t="shared" si="289"/>
        <v>6820</v>
      </c>
      <c r="Q2447" t="str">
        <f t="shared" si="292"/>
        <v>food</v>
      </c>
      <c r="R2447" t="str">
        <f t="shared" si="293"/>
        <v>small batch</v>
      </c>
      <c r="S2447" s="9">
        <f t="shared" si="290"/>
        <v>42242.981724537036</v>
      </c>
      <c r="T2447" s="9">
        <f t="shared" si="291"/>
        <v>42272.981724537036</v>
      </c>
    </row>
    <row r="2448" spans="1:20" ht="43.5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88"/>
        <v>1.6798</v>
      </c>
      <c r="P2448">
        <f t="shared" si="289"/>
        <v>6699.5</v>
      </c>
      <c r="Q2448" t="str">
        <f t="shared" si="292"/>
        <v>food</v>
      </c>
      <c r="R2448" t="str">
        <f t="shared" si="293"/>
        <v>small batch</v>
      </c>
      <c r="S2448" s="9">
        <f t="shared" si="290"/>
        <v>42670.394340277773</v>
      </c>
      <c r="T2448" s="9">
        <f t="shared" si="291"/>
        <v>42700.436006944445</v>
      </c>
    </row>
    <row r="2449" spans="1:20" ht="43.5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88"/>
        <v>4.2720000000000002</v>
      </c>
      <c r="P2449">
        <f t="shared" si="289"/>
        <v>6590</v>
      </c>
      <c r="Q2449" t="str">
        <f t="shared" si="292"/>
        <v>food</v>
      </c>
      <c r="R2449" t="str">
        <f t="shared" si="293"/>
        <v>small batch</v>
      </c>
      <c r="S2449" s="9">
        <f t="shared" si="290"/>
        <v>42654.26149305555</v>
      </c>
      <c r="T2449" s="9">
        <f t="shared" si="291"/>
        <v>42685.958333333336</v>
      </c>
    </row>
    <row r="2450" spans="1:20" ht="43.5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88"/>
        <v>1.075</v>
      </c>
      <c r="P2450">
        <f t="shared" si="289"/>
        <v>415</v>
      </c>
      <c r="Q2450" t="str">
        <f t="shared" si="292"/>
        <v>food</v>
      </c>
      <c r="R2450" t="str">
        <f t="shared" si="293"/>
        <v>small batch</v>
      </c>
      <c r="S2450" s="9">
        <f t="shared" si="290"/>
        <v>42607.107789351845</v>
      </c>
      <c r="T2450" s="9">
        <f t="shared" si="291"/>
        <v>42613.025000000001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88"/>
        <v>1.08</v>
      </c>
      <c r="P2451">
        <f t="shared" si="289"/>
        <v>10400</v>
      </c>
      <c r="Q2451" t="str">
        <f t="shared" si="292"/>
        <v>food</v>
      </c>
      <c r="R2451" t="str">
        <f t="shared" si="293"/>
        <v>small batch</v>
      </c>
      <c r="S2451" s="9">
        <f t="shared" si="290"/>
        <v>41942.934201388889</v>
      </c>
      <c r="T2451" s="9">
        <f t="shared" si="291"/>
        <v>41972.975868055553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88"/>
        <v>1.0153353333333335</v>
      </c>
      <c r="P2452">
        <f t="shared" si="289"/>
        <v>15115.014999999999</v>
      </c>
      <c r="Q2452" t="str">
        <f t="shared" si="292"/>
        <v>food</v>
      </c>
      <c r="R2452" t="str">
        <f t="shared" si="293"/>
        <v>small batch</v>
      </c>
      <c r="S2452" s="9">
        <f t="shared" si="290"/>
        <v>41901.864074074074</v>
      </c>
      <c r="T2452" s="9">
        <f t="shared" si="291"/>
        <v>41939.924305555549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88"/>
        <v>1.1545000000000001</v>
      </c>
      <c r="P2453">
        <f t="shared" si="289"/>
        <v>10772.5</v>
      </c>
      <c r="Q2453" t="str">
        <f t="shared" si="292"/>
        <v>food</v>
      </c>
      <c r="R2453" t="str">
        <f t="shared" si="293"/>
        <v>small batch</v>
      </c>
      <c r="S2453" s="9">
        <f t="shared" si="290"/>
        <v>42779.700115740743</v>
      </c>
      <c r="T2453" s="9">
        <f t="shared" si="291"/>
        <v>42799.700115740743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88"/>
        <v>1.335</v>
      </c>
      <c r="P2454">
        <f t="shared" si="289"/>
        <v>700.5</v>
      </c>
      <c r="Q2454" t="str">
        <f t="shared" si="292"/>
        <v>food</v>
      </c>
      <c r="R2454" t="str">
        <f t="shared" si="293"/>
        <v>small batch</v>
      </c>
      <c r="S2454" s="9">
        <f t="shared" si="290"/>
        <v>42338.635416666664</v>
      </c>
      <c r="T2454" s="9">
        <f t="shared" si="291"/>
        <v>42367.749999999993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88"/>
        <v>1.5469999999999999</v>
      </c>
      <c r="P2455">
        <f t="shared" si="289"/>
        <v>3820.5</v>
      </c>
      <c r="Q2455" t="str">
        <f t="shared" si="292"/>
        <v>food</v>
      </c>
      <c r="R2455" t="str">
        <f t="shared" si="293"/>
        <v>small batch</v>
      </c>
      <c r="S2455" s="9">
        <f t="shared" si="290"/>
        <v>42738.483900462961</v>
      </c>
      <c r="T2455" s="9">
        <f t="shared" si="291"/>
        <v>42768.483900462961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88"/>
        <v>1.0084571428571429</v>
      </c>
      <c r="P2456">
        <f t="shared" si="289"/>
        <v>35148</v>
      </c>
      <c r="Q2456" t="str">
        <f t="shared" si="292"/>
        <v>food</v>
      </c>
      <c r="R2456" t="str">
        <f t="shared" si="293"/>
        <v>small batch</v>
      </c>
      <c r="S2456" s="9">
        <f t="shared" si="290"/>
        <v>42769.993148148147</v>
      </c>
      <c r="T2456" s="9">
        <f t="shared" si="291"/>
        <v>42804.993148148147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88"/>
        <v>1.82</v>
      </c>
      <c r="P2457">
        <f t="shared" si="289"/>
        <v>423</v>
      </c>
      <c r="Q2457" t="str">
        <f t="shared" si="292"/>
        <v>food</v>
      </c>
      <c r="R2457" t="str">
        <f t="shared" si="293"/>
        <v>small batch</v>
      </c>
      <c r="S2457" s="9">
        <f t="shared" si="290"/>
        <v>42452.573495370372</v>
      </c>
      <c r="T2457" s="9">
        <f t="shared" si="291"/>
        <v>42480.573495370372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88"/>
        <v>1.8086666666666666</v>
      </c>
      <c r="P2458">
        <f t="shared" si="289"/>
        <v>2106.5</v>
      </c>
      <c r="Q2458" t="str">
        <f t="shared" si="292"/>
        <v>food</v>
      </c>
      <c r="R2458" t="str">
        <f t="shared" si="293"/>
        <v>small batch</v>
      </c>
      <c r="S2458" s="9">
        <f t="shared" si="290"/>
        <v>42761.752766203703</v>
      </c>
      <c r="T2458" s="9">
        <f t="shared" si="291"/>
        <v>42791.752766203703</v>
      </c>
    </row>
    <row r="2459" spans="1:20" ht="29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88"/>
        <v>1.0230434782608695</v>
      </c>
      <c r="P2459">
        <f t="shared" si="289"/>
        <v>23265</v>
      </c>
      <c r="Q2459" t="str">
        <f t="shared" si="292"/>
        <v>food</v>
      </c>
      <c r="R2459" t="str">
        <f t="shared" si="293"/>
        <v>small batch</v>
      </c>
      <c r="S2459" s="9">
        <f t="shared" si="290"/>
        <v>42423.394166666665</v>
      </c>
      <c r="T2459" s="9">
        <f t="shared" si="291"/>
        <v>42453.352500000001</v>
      </c>
    </row>
    <row r="2460" spans="1:20" ht="43.5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88"/>
        <v>1.1017999999999999</v>
      </c>
      <c r="P2460">
        <f t="shared" si="289"/>
        <v>5254.5</v>
      </c>
      <c r="Q2460" t="str">
        <f t="shared" si="292"/>
        <v>food</v>
      </c>
      <c r="R2460" t="str">
        <f t="shared" si="293"/>
        <v>small batch</v>
      </c>
      <c r="S2460" s="9">
        <f t="shared" si="290"/>
        <v>42495.663402777776</v>
      </c>
      <c r="T2460" s="9">
        <f t="shared" si="291"/>
        <v>42530.583333333336</v>
      </c>
    </row>
    <row r="2461" spans="1:20" ht="43.5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88"/>
        <v>1.0225</v>
      </c>
      <c r="P2461">
        <f t="shared" si="289"/>
        <v>30337.5</v>
      </c>
      <c r="Q2461" t="str">
        <f t="shared" si="292"/>
        <v>food</v>
      </c>
      <c r="R2461" t="str">
        <f t="shared" si="293"/>
        <v>small batch</v>
      </c>
      <c r="S2461" s="9">
        <f t="shared" si="290"/>
        <v>42407.429224537038</v>
      </c>
      <c r="T2461" s="9">
        <f t="shared" si="291"/>
        <v>42452.387557870366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88"/>
        <v>1.0078823529411765</v>
      </c>
      <c r="P2462">
        <f t="shared" si="289"/>
        <v>8533.5</v>
      </c>
      <c r="Q2462" t="str">
        <f t="shared" si="292"/>
        <v>food</v>
      </c>
      <c r="R2462" t="str">
        <f t="shared" si="293"/>
        <v>small batch</v>
      </c>
      <c r="S2462" s="9">
        <f t="shared" si="290"/>
        <v>42703.978784722225</v>
      </c>
      <c r="T2462" s="9">
        <f t="shared" si="291"/>
        <v>42737.970138888886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88"/>
        <v>1.038</v>
      </c>
      <c r="P2463">
        <f t="shared" si="289"/>
        <v>7642.5</v>
      </c>
      <c r="Q2463" t="str">
        <f>IF(N2463="music/indie rock","music")</f>
        <v>music</v>
      </c>
      <c r="R2463" t="str">
        <f>IF(N2463="music/indie rock","indie rock")</f>
        <v>indie rock</v>
      </c>
      <c r="S2463" s="9">
        <f t="shared" si="290"/>
        <v>40783.804363425923</v>
      </c>
      <c r="T2463" s="9">
        <f t="shared" si="291"/>
        <v>40816.916666666664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88"/>
        <v>1.1070833333333334</v>
      </c>
      <c r="P2464">
        <f t="shared" si="289"/>
        <v>3160.625</v>
      </c>
      <c r="Q2464" t="str">
        <f t="shared" ref="Q2464:Q2502" si="294">IF(N2464="music/indie rock","music")</f>
        <v>music</v>
      </c>
      <c r="R2464" t="str">
        <f t="shared" ref="R2464:R2502" si="295">IF(N2464="music/indie rock","indie rock")</f>
        <v>indie rock</v>
      </c>
      <c r="S2464" s="9">
        <f t="shared" si="290"/>
        <v>41088.977962962963</v>
      </c>
      <c r="T2464" s="9">
        <f t="shared" si="291"/>
        <v>41108.977962962963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88"/>
        <v>1.1625000000000001</v>
      </c>
      <c r="P2465">
        <f t="shared" si="289"/>
        <v>2162.5</v>
      </c>
      <c r="Q2465" t="str">
        <f t="shared" si="294"/>
        <v>music</v>
      </c>
      <c r="R2465" t="str">
        <f t="shared" si="295"/>
        <v>indie rock</v>
      </c>
      <c r="S2465" s="9">
        <f t="shared" si="290"/>
        <v>41340.903067129628</v>
      </c>
      <c r="T2465" s="9">
        <f t="shared" si="291"/>
        <v>41380.583333333328</v>
      </c>
    </row>
    <row r="2466" spans="1:20" ht="29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88"/>
        <v>1.111</v>
      </c>
      <c r="P2466">
        <f t="shared" si="289"/>
        <v>2111</v>
      </c>
      <c r="Q2466" t="str">
        <f t="shared" si="294"/>
        <v>music</v>
      </c>
      <c r="R2466" t="str">
        <f t="shared" si="295"/>
        <v>indie rock</v>
      </c>
      <c r="S2466" s="9">
        <f t="shared" si="290"/>
        <v>42248.692094907405</v>
      </c>
      <c r="T2466" s="9">
        <f t="shared" si="291"/>
        <v>42277.603472222218</v>
      </c>
    </row>
    <row r="2467" spans="1:20" ht="29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88"/>
        <v>1.8014285714285714</v>
      </c>
      <c r="P2467">
        <f t="shared" si="289"/>
        <v>980.5</v>
      </c>
      <c r="Q2467" t="str">
        <f t="shared" si="294"/>
        <v>music</v>
      </c>
      <c r="R2467" t="str">
        <f t="shared" si="295"/>
        <v>indie rock</v>
      </c>
      <c r="S2467" s="9">
        <f t="shared" si="290"/>
        <v>41145.510972222219</v>
      </c>
      <c r="T2467" s="9">
        <f t="shared" si="291"/>
        <v>41175.510972222219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88"/>
        <v>1</v>
      </c>
      <c r="P2468">
        <f t="shared" si="289"/>
        <v>2500</v>
      </c>
      <c r="Q2468" t="str">
        <f t="shared" si="294"/>
        <v>music</v>
      </c>
      <c r="R2468" t="str">
        <f t="shared" si="295"/>
        <v>indie rock</v>
      </c>
      <c r="S2468" s="9">
        <f t="shared" si="290"/>
        <v>41372.894131944442</v>
      </c>
      <c r="T2468" s="9">
        <f t="shared" si="291"/>
        <v>41402.894131944442</v>
      </c>
    </row>
    <row r="2469" spans="1:20" ht="29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88"/>
        <v>1.1850000000000001</v>
      </c>
      <c r="P2469">
        <f t="shared" si="289"/>
        <v>1092.5</v>
      </c>
      <c r="Q2469" t="str">
        <f t="shared" si="294"/>
        <v>music</v>
      </c>
      <c r="R2469" t="str">
        <f t="shared" si="295"/>
        <v>indie rock</v>
      </c>
      <c r="S2469" s="9">
        <f t="shared" si="290"/>
        <v>41025.665868055556</v>
      </c>
      <c r="T2469" s="9">
        <f t="shared" si="291"/>
        <v>41039.5</v>
      </c>
    </row>
    <row r="2470" spans="1:20" ht="29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88"/>
        <v>1.0721700000000001</v>
      </c>
      <c r="P2470">
        <f t="shared" si="289"/>
        <v>2072.17</v>
      </c>
      <c r="Q2470" t="str">
        <f t="shared" si="294"/>
        <v>music</v>
      </c>
      <c r="R2470" t="str">
        <f t="shared" si="295"/>
        <v>indie rock</v>
      </c>
      <c r="S2470" s="9">
        <f t="shared" si="290"/>
        <v>41173.945844907408</v>
      </c>
      <c r="T2470" s="9">
        <f t="shared" si="291"/>
        <v>41210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88"/>
        <v>1.1366666666666667</v>
      </c>
      <c r="P2471">
        <f t="shared" si="289"/>
        <v>1282</v>
      </c>
      <c r="Q2471" t="str">
        <f t="shared" si="294"/>
        <v>music</v>
      </c>
      <c r="R2471" t="str">
        <f t="shared" si="295"/>
        <v>indie rock</v>
      </c>
      <c r="S2471" s="9">
        <f t="shared" si="290"/>
        <v>40557.221400462957</v>
      </c>
      <c r="T2471" s="9">
        <f t="shared" si="291"/>
        <v>40582.221400462957</v>
      </c>
    </row>
    <row r="2472" spans="1:20" ht="29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88"/>
        <v>1.0316400000000001</v>
      </c>
      <c r="P2472">
        <f t="shared" si="289"/>
        <v>1015.82</v>
      </c>
      <c r="Q2472" t="str">
        <f t="shared" si="294"/>
        <v>music</v>
      </c>
      <c r="R2472" t="str">
        <f t="shared" si="295"/>
        <v>indie rock</v>
      </c>
      <c r="S2472" s="9">
        <f t="shared" si="290"/>
        <v>41022.866377314815</v>
      </c>
      <c r="T2472" s="9">
        <f t="shared" si="291"/>
        <v>41052.866377314815</v>
      </c>
    </row>
    <row r="2473" spans="1:20" ht="43.5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88"/>
        <v>1.28</v>
      </c>
      <c r="P2473">
        <f t="shared" si="289"/>
        <v>570</v>
      </c>
      <c r="Q2473" t="str">
        <f t="shared" si="294"/>
        <v>music</v>
      </c>
      <c r="R2473" t="str">
        <f t="shared" si="295"/>
        <v>indie rock</v>
      </c>
      <c r="S2473" s="9">
        <f t="shared" si="290"/>
        <v>40893.784629629627</v>
      </c>
      <c r="T2473" s="9">
        <f t="shared" si="291"/>
        <v>40933.784629629627</v>
      </c>
    </row>
    <row r="2474" spans="1:20" ht="43.5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88"/>
        <v>1.3576026666666667</v>
      </c>
      <c r="P2474">
        <f t="shared" si="289"/>
        <v>8841.01</v>
      </c>
      <c r="Q2474" t="str">
        <f t="shared" si="294"/>
        <v>music</v>
      </c>
      <c r="R2474" t="str">
        <f t="shared" si="295"/>
        <v>indie rock</v>
      </c>
      <c r="S2474" s="9">
        <f t="shared" si="290"/>
        <v>40353.907175925924</v>
      </c>
      <c r="T2474" s="9">
        <f t="shared" si="291"/>
        <v>40424.835416666661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88"/>
        <v>1</v>
      </c>
      <c r="P2475">
        <f t="shared" si="289"/>
        <v>2000</v>
      </c>
      <c r="Q2475" t="str">
        <f t="shared" si="294"/>
        <v>music</v>
      </c>
      <c r="R2475" t="str">
        <f t="shared" si="295"/>
        <v>indie rock</v>
      </c>
      <c r="S2475" s="9">
        <f t="shared" si="290"/>
        <v>41193.540150462963</v>
      </c>
      <c r="T2475" s="9">
        <f t="shared" si="291"/>
        <v>41223.581817129627</v>
      </c>
    </row>
    <row r="2476" spans="1:20" ht="43.5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88"/>
        <v>1.0000360000000001</v>
      </c>
      <c r="P2476">
        <f t="shared" si="289"/>
        <v>5000.09</v>
      </c>
      <c r="Q2476" t="str">
        <f t="shared" si="294"/>
        <v>music</v>
      </c>
      <c r="R2476" t="str">
        <f t="shared" si="295"/>
        <v>indie rock</v>
      </c>
      <c r="S2476" s="9">
        <f t="shared" si="290"/>
        <v>40416.80296296296</v>
      </c>
      <c r="T2476" s="9">
        <f t="shared" si="291"/>
        <v>40461.80296296296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88"/>
        <v>1.0471999999999999</v>
      </c>
      <c r="P2477">
        <f t="shared" si="289"/>
        <v>2559</v>
      </c>
      <c r="Q2477" t="str">
        <f t="shared" si="294"/>
        <v>music</v>
      </c>
      <c r="R2477" t="str">
        <f t="shared" si="295"/>
        <v>indie rock</v>
      </c>
      <c r="S2477" s="9">
        <f t="shared" si="290"/>
        <v>40310.079340277771</v>
      </c>
      <c r="T2477" s="9">
        <f t="shared" si="291"/>
        <v>40369.708333333328</v>
      </c>
    </row>
    <row r="2478" spans="1:20" ht="29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88"/>
        <v>1.050225</v>
      </c>
      <c r="P2478">
        <f t="shared" si="289"/>
        <v>3280.3599999999997</v>
      </c>
      <c r="Q2478" t="str">
        <f t="shared" si="294"/>
        <v>music</v>
      </c>
      <c r="R2478" t="str">
        <f t="shared" si="295"/>
        <v>indie rock</v>
      </c>
      <c r="S2478" s="9">
        <f t="shared" si="290"/>
        <v>41913.120023148142</v>
      </c>
      <c r="T2478" s="9">
        <f t="shared" si="291"/>
        <v>41946.161689814813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88"/>
        <v>1.7133333333333334</v>
      </c>
      <c r="P2479">
        <f t="shared" si="289"/>
        <v>1017.5</v>
      </c>
      <c r="Q2479" t="str">
        <f t="shared" si="294"/>
        <v>music</v>
      </c>
      <c r="R2479" t="str">
        <f t="shared" si="295"/>
        <v>indie rock</v>
      </c>
      <c r="S2479" s="9">
        <f t="shared" si="290"/>
        <v>41088.483159722222</v>
      </c>
      <c r="T2479" s="9">
        <f t="shared" si="291"/>
        <v>41133.483159722222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88"/>
        <v>1.2749999999999999</v>
      </c>
      <c r="P2480">
        <f t="shared" si="289"/>
        <v>9100</v>
      </c>
      <c r="Q2480" t="str">
        <f t="shared" si="294"/>
        <v>music</v>
      </c>
      <c r="R2480" t="str">
        <f t="shared" si="295"/>
        <v>indie rock</v>
      </c>
      <c r="S2480" s="9">
        <f t="shared" si="290"/>
        <v>41257.742048611108</v>
      </c>
      <c r="T2480" s="9">
        <f t="shared" si="291"/>
        <v>41287.742048611108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88"/>
        <v>1.3344333333333334</v>
      </c>
      <c r="P2481">
        <f t="shared" si="289"/>
        <v>350.16499999999996</v>
      </c>
      <c r="Q2481" t="str">
        <f t="shared" si="294"/>
        <v>music</v>
      </c>
      <c r="R2481" t="str">
        <f t="shared" si="295"/>
        <v>indie rock</v>
      </c>
      <c r="S2481" s="9">
        <f t="shared" si="290"/>
        <v>41107.518449074072</v>
      </c>
      <c r="T2481" s="9">
        <f t="shared" si="291"/>
        <v>41117.875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88"/>
        <v>1</v>
      </c>
      <c r="P2482">
        <f t="shared" si="289"/>
        <v>2000</v>
      </c>
      <c r="Q2482" t="str">
        <f t="shared" si="294"/>
        <v>music</v>
      </c>
      <c r="R2482" t="str">
        <f t="shared" si="295"/>
        <v>indie rock</v>
      </c>
      <c r="S2482" s="9">
        <f t="shared" si="290"/>
        <v>42227.727824074071</v>
      </c>
      <c r="T2482" s="9">
        <f t="shared" si="291"/>
        <v>42287.727824074071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88"/>
        <v>1.1291099999999998</v>
      </c>
      <c r="P2483">
        <f t="shared" si="289"/>
        <v>4258.2199999999993</v>
      </c>
      <c r="Q2483" t="str">
        <f t="shared" si="294"/>
        <v>music</v>
      </c>
      <c r="R2483" t="str">
        <f t="shared" si="295"/>
        <v>indie rock</v>
      </c>
      <c r="S2483" s="9">
        <f t="shared" si="290"/>
        <v>40999.437592592592</v>
      </c>
      <c r="T2483" s="9">
        <f t="shared" si="291"/>
        <v>41029.437592592592</v>
      </c>
    </row>
    <row r="2484" spans="1:20" ht="43.5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88"/>
        <v>1.0009999999999999</v>
      </c>
      <c r="P2484">
        <f t="shared" si="289"/>
        <v>1000.5</v>
      </c>
      <c r="Q2484" t="str">
        <f t="shared" si="294"/>
        <v>music</v>
      </c>
      <c r="R2484" t="str">
        <f t="shared" si="295"/>
        <v>indie rock</v>
      </c>
      <c r="S2484" s="9">
        <f t="shared" si="290"/>
        <v>40711.573877314811</v>
      </c>
      <c r="T2484" s="9">
        <f t="shared" si="291"/>
        <v>40756.573877314811</v>
      </c>
    </row>
    <row r="2485" spans="1:20" ht="29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88"/>
        <v>1.1372727272727272</v>
      </c>
      <c r="P2485">
        <f t="shared" si="289"/>
        <v>1175.5</v>
      </c>
      <c r="Q2485" t="str">
        <f t="shared" si="294"/>
        <v>music</v>
      </c>
      <c r="R2485" t="str">
        <f t="shared" si="295"/>
        <v>indie rock</v>
      </c>
      <c r="S2485" s="9">
        <f t="shared" si="290"/>
        <v>40970.541701388887</v>
      </c>
      <c r="T2485" s="9">
        <f t="shared" si="291"/>
        <v>41030.500034722216</v>
      </c>
    </row>
    <row r="2486" spans="1:20" ht="43.5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88"/>
        <v>1.1931742857142855</v>
      </c>
      <c r="P2486">
        <f t="shared" si="289"/>
        <v>3838.0549999999998</v>
      </c>
      <c r="Q2486" t="str">
        <f t="shared" si="294"/>
        <v>music</v>
      </c>
      <c r="R2486" t="str">
        <f t="shared" si="295"/>
        <v>indie rock</v>
      </c>
      <c r="S2486" s="9">
        <f t="shared" si="290"/>
        <v>40771.708368055552</v>
      </c>
      <c r="T2486" s="9">
        <f t="shared" si="291"/>
        <v>40801.708368055552</v>
      </c>
    </row>
    <row r="2487" spans="1:20" ht="43.5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88"/>
        <v>1.0325</v>
      </c>
      <c r="P2487">
        <f t="shared" si="289"/>
        <v>2032.5</v>
      </c>
      <c r="Q2487" t="str">
        <f t="shared" si="294"/>
        <v>music</v>
      </c>
      <c r="R2487" t="str">
        <f t="shared" si="295"/>
        <v>indie rock</v>
      </c>
      <c r="S2487" s="9">
        <f t="shared" si="290"/>
        <v>40793.790266203701</v>
      </c>
      <c r="T2487" s="9">
        <f t="shared" si="291"/>
        <v>40828.790266203701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88"/>
        <v>2.6566666666666667</v>
      </c>
      <c r="P2488">
        <f t="shared" si="289"/>
        <v>548.5</v>
      </c>
      <c r="Q2488" t="str">
        <f t="shared" si="294"/>
        <v>music</v>
      </c>
      <c r="R2488" t="str">
        <f t="shared" si="295"/>
        <v>indie rock</v>
      </c>
      <c r="S2488" s="9">
        <f t="shared" si="290"/>
        <v>40991.499722222223</v>
      </c>
      <c r="T2488" s="9">
        <f t="shared" si="291"/>
        <v>41021.499722222223</v>
      </c>
    </row>
    <row r="2489" spans="1:20" ht="29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88"/>
        <v>1.0005066666666667</v>
      </c>
      <c r="P2489">
        <f t="shared" si="289"/>
        <v>1500.38</v>
      </c>
      <c r="Q2489" t="str">
        <f t="shared" si="294"/>
        <v>music</v>
      </c>
      <c r="R2489" t="str">
        <f t="shared" si="295"/>
        <v>indie rock</v>
      </c>
      <c r="S2489" s="9">
        <f t="shared" si="290"/>
        <v>41025.874965277777</v>
      </c>
      <c r="T2489" s="9">
        <f t="shared" si="291"/>
        <v>41055.874965277777</v>
      </c>
    </row>
    <row r="2490" spans="1:20" ht="43.5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88"/>
        <v>1.0669999999999999</v>
      </c>
      <c r="P2490">
        <f t="shared" si="289"/>
        <v>3100.5</v>
      </c>
      <c r="Q2490" t="str">
        <f t="shared" si="294"/>
        <v>music</v>
      </c>
      <c r="R2490" t="str">
        <f t="shared" si="295"/>
        <v>indie rock</v>
      </c>
      <c r="S2490" s="9">
        <f t="shared" si="290"/>
        <v>40833.424861111111</v>
      </c>
      <c r="T2490" s="9">
        <f t="shared" si="291"/>
        <v>40863.466527777775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88"/>
        <v>1.3367142857142857</v>
      </c>
      <c r="P2491">
        <f t="shared" si="289"/>
        <v>4089.25</v>
      </c>
      <c r="Q2491" t="str">
        <f t="shared" si="294"/>
        <v>music</v>
      </c>
      <c r="R2491" t="str">
        <f t="shared" si="295"/>
        <v>indie rock</v>
      </c>
      <c r="S2491" s="9">
        <f t="shared" si="290"/>
        <v>41373.481932870367</v>
      </c>
      <c r="T2491" s="9">
        <f t="shared" si="291"/>
        <v>41403.481932870367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88"/>
        <v>1.214</v>
      </c>
      <c r="P2492">
        <f t="shared" si="289"/>
        <v>553.5</v>
      </c>
      <c r="Q2492" t="str">
        <f t="shared" si="294"/>
        <v>music</v>
      </c>
      <c r="R2492" t="str">
        <f t="shared" si="295"/>
        <v>indie rock</v>
      </c>
      <c r="S2492" s="9">
        <f t="shared" si="290"/>
        <v>41023.01939814815</v>
      </c>
      <c r="T2492" s="9">
        <f t="shared" si="291"/>
        <v>41083.01939814815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88"/>
        <v>1.032</v>
      </c>
      <c r="P2493">
        <f t="shared" si="289"/>
        <v>508</v>
      </c>
      <c r="Q2493" t="str">
        <f t="shared" si="294"/>
        <v>music</v>
      </c>
      <c r="R2493" t="str">
        <f t="shared" si="295"/>
        <v>indie rock</v>
      </c>
      <c r="S2493" s="9">
        <f t="shared" si="290"/>
        <v>40542.630949074075</v>
      </c>
      <c r="T2493" s="9">
        <f t="shared" si="291"/>
        <v>40558.868750000001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88"/>
        <v>1.25</v>
      </c>
      <c r="P2494">
        <f t="shared" si="289"/>
        <v>675</v>
      </c>
      <c r="Q2494" t="str">
        <f t="shared" si="294"/>
        <v>music</v>
      </c>
      <c r="R2494" t="str">
        <f t="shared" si="295"/>
        <v>indie rock</v>
      </c>
      <c r="S2494" s="9">
        <f t="shared" si="290"/>
        <v>41024.777638888889</v>
      </c>
      <c r="T2494" s="9">
        <f t="shared" si="291"/>
        <v>41076.207638888889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88"/>
        <v>1.2869999999999999</v>
      </c>
      <c r="P2495">
        <f t="shared" si="289"/>
        <v>22870</v>
      </c>
      <c r="Q2495" t="str">
        <f t="shared" si="294"/>
        <v>music</v>
      </c>
      <c r="R2495" t="str">
        <f t="shared" si="295"/>
        <v>indie rock</v>
      </c>
      <c r="S2495" s="9">
        <f t="shared" si="290"/>
        <v>41347.959953703699</v>
      </c>
      <c r="T2495" s="9">
        <f t="shared" si="291"/>
        <v>41392.959953703699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88"/>
        <v>1.0100533333333332</v>
      </c>
      <c r="P2496">
        <f t="shared" si="289"/>
        <v>1507.54</v>
      </c>
      <c r="Q2496" t="str">
        <f t="shared" si="294"/>
        <v>music</v>
      </c>
      <c r="R2496" t="str">
        <f t="shared" si="295"/>
        <v>indie rock</v>
      </c>
      <c r="S2496" s="9">
        <f t="shared" si="290"/>
        <v>41022.436851851853</v>
      </c>
      <c r="T2496" s="9">
        <f t="shared" si="291"/>
        <v>41052.436851851853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88"/>
        <v>1.2753666666666665</v>
      </c>
      <c r="P2497">
        <f t="shared" si="289"/>
        <v>1706.5250000000001</v>
      </c>
      <c r="Q2497" t="str">
        <f t="shared" si="294"/>
        <v>music</v>
      </c>
      <c r="R2497" t="str">
        <f t="shared" si="295"/>
        <v>indie rock</v>
      </c>
      <c r="S2497" s="9">
        <f t="shared" si="290"/>
        <v>41036.738136574073</v>
      </c>
      <c r="T2497" s="9">
        <f t="shared" si="291"/>
        <v>41066.738136574073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88"/>
        <v>1</v>
      </c>
      <c r="P2498">
        <f t="shared" si="289"/>
        <v>6000</v>
      </c>
      <c r="Q2498" t="str">
        <f t="shared" si="294"/>
        <v>music</v>
      </c>
      <c r="R2498" t="str">
        <f t="shared" si="295"/>
        <v>indie rock</v>
      </c>
      <c r="S2498" s="9">
        <f t="shared" si="290"/>
        <v>41327.788101851846</v>
      </c>
      <c r="T2498" s="9">
        <f t="shared" si="291"/>
        <v>41362.746435185181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96">E2499/D2499</f>
        <v>1.127715</v>
      </c>
      <c r="P2499">
        <f t="shared" ref="P2499:P2562" si="297">AVERAGE(D2499:E2499)</f>
        <v>4255.43</v>
      </c>
      <c r="Q2499" t="str">
        <f t="shared" si="294"/>
        <v>music</v>
      </c>
      <c r="R2499" t="str">
        <f t="shared" si="295"/>
        <v>indie rock</v>
      </c>
      <c r="S2499" s="9">
        <f t="shared" ref="S2499:S2562" si="298">J2499/86400+25569+(-5/24)</f>
        <v>40730.670578703699</v>
      </c>
      <c r="T2499" s="9">
        <f t="shared" si="291"/>
        <v>40760.670578703699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96"/>
        <v>1.056</v>
      </c>
      <c r="P2500">
        <f t="shared" si="297"/>
        <v>1028</v>
      </c>
      <c r="Q2500" t="str">
        <f t="shared" si="294"/>
        <v>music</v>
      </c>
      <c r="R2500" t="str">
        <f t="shared" si="295"/>
        <v>indie rock</v>
      </c>
      <c r="S2500" s="9">
        <f t="shared" si="298"/>
        <v>42017.759108796294</v>
      </c>
      <c r="T2500" s="9">
        <f t="shared" ref="T2500:T2563" si="299">I2500/86400+25569+(-5/24)</f>
        <v>42031.759108796294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96"/>
        <v>2.0262500000000001</v>
      </c>
      <c r="P2501">
        <f t="shared" si="297"/>
        <v>6052.5</v>
      </c>
      <c r="Q2501" t="str">
        <f t="shared" si="294"/>
        <v>music</v>
      </c>
      <c r="R2501" t="str">
        <f t="shared" si="295"/>
        <v>indie rock</v>
      </c>
      <c r="S2501" s="9">
        <f t="shared" si="298"/>
        <v>41226.440243055556</v>
      </c>
      <c r="T2501" s="9">
        <f t="shared" si="299"/>
        <v>41274.541666666664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96"/>
        <v>1.1333333333333333</v>
      </c>
      <c r="P2502">
        <f t="shared" si="297"/>
        <v>640</v>
      </c>
      <c r="Q2502" t="str">
        <f t="shared" si="294"/>
        <v>music</v>
      </c>
      <c r="R2502" t="str">
        <f t="shared" si="295"/>
        <v>indie rock</v>
      </c>
      <c r="S2502" s="9">
        <f t="shared" si="298"/>
        <v>41053.564525462956</v>
      </c>
      <c r="T2502" s="9">
        <f t="shared" si="299"/>
        <v>41083.564525462956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96"/>
        <v>2.5545454545454545E-2</v>
      </c>
      <c r="P2503">
        <f t="shared" si="297"/>
        <v>5640.5</v>
      </c>
      <c r="Q2503" t="str">
        <f>IF(N2503="food/restaurants","food")</f>
        <v>food</v>
      </c>
      <c r="R2503" t="str">
        <f>IF(N2503="food/restaurants","restaurants")</f>
        <v>restaurants</v>
      </c>
      <c r="S2503" s="9">
        <f t="shared" si="298"/>
        <v>42244.568333333336</v>
      </c>
      <c r="T2503" s="9">
        <f t="shared" si="299"/>
        <v>42274.568333333336</v>
      </c>
    </row>
    <row r="2504" spans="1:20" ht="43.5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96"/>
        <v>7.8181818181818181E-4</v>
      </c>
      <c r="P2504">
        <f t="shared" si="297"/>
        <v>55043</v>
      </c>
      <c r="Q2504" t="str">
        <f t="shared" ref="Q2504:Q2522" si="300">IF(N2504="food/restaurants","food")</f>
        <v>food</v>
      </c>
      <c r="R2504" t="str">
        <f t="shared" ref="R2504:R2522" si="301">IF(N2504="food/restaurants","restaurants")</f>
        <v>restaurants</v>
      </c>
      <c r="S2504" s="9">
        <f t="shared" si="298"/>
        <v>41858.617106481477</v>
      </c>
      <c r="T2504" s="9">
        <f t="shared" si="299"/>
        <v>41903.617106481477</v>
      </c>
    </row>
    <row r="2505" spans="1:20" ht="43.5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96"/>
        <v>0</v>
      </c>
      <c r="P2505">
        <f t="shared" si="297"/>
        <v>5000</v>
      </c>
      <c r="Q2505" t="str">
        <f t="shared" si="300"/>
        <v>food</v>
      </c>
      <c r="R2505" t="str">
        <f t="shared" si="301"/>
        <v>restaurants</v>
      </c>
      <c r="S2505" s="9">
        <f t="shared" si="298"/>
        <v>42498.691064814811</v>
      </c>
      <c r="T2505" s="9">
        <f t="shared" si="299"/>
        <v>42528.67083333333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96"/>
        <v>0</v>
      </c>
      <c r="P2506">
        <f t="shared" si="297"/>
        <v>17500</v>
      </c>
      <c r="Q2506" t="str">
        <f t="shared" si="300"/>
        <v>food</v>
      </c>
      <c r="R2506" t="str">
        <f t="shared" si="301"/>
        <v>restaurants</v>
      </c>
      <c r="S2506" s="9">
        <f t="shared" si="298"/>
        <v>41927.807106481479</v>
      </c>
      <c r="T2506" s="9">
        <f t="shared" si="299"/>
        <v>41957.848773148151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96"/>
        <v>0</v>
      </c>
      <c r="P2507">
        <f t="shared" si="297"/>
        <v>3500</v>
      </c>
      <c r="Q2507" t="str">
        <f t="shared" si="300"/>
        <v>food</v>
      </c>
      <c r="R2507" t="str">
        <f t="shared" si="301"/>
        <v>restaurants</v>
      </c>
      <c r="S2507" s="9">
        <f t="shared" si="298"/>
        <v>42046.847407407404</v>
      </c>
      <c r="T2507" s="9">
        <f t="shared" si="299"/>
        <v>42076.80574074074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96"/>
        <v>6.0000000000000001E-3</v>
      </c>
      <c r="P2508">
        <f t="shared" si="297"/>
        <v>2515</v>
      </c>
      <c r="Q2508" t="str">
        <f t="shared" si="300"/>
        <v>food</v>
      </c>
      <c r="R2508" t="str">
        <f t="shared" si="301"/>
        <v>restaurants</v>
      </c>
      <c r="S2508" s="9">
        <f t="shared" si="298"/>
        <v>42258.088761574072</v>
      </c>
      <c r="T2508" s="9">
        <f t="shared" si="299"/>
        <v>42280.666666666664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96"/>
        <v>0</v>
      </c>
      <c r="P2509">
        <f t="shared" si="297"/>
        <v>21425</v>
      </c>
      <c r="Q2509" t="str">
        <f t="shared" si="300"/>
        <v>food</v>
      </c>
      <c r="R2509" t="str">
        <f t="shared" si="301"/>
        <v>restaurants</v>
      </c>
      <c r="S2509" s="9">
        <f t="shared" si="298"/>
        <v>42104.864629629628</v>
      </c>
      <c r="T2509" s="9">
        <f t="shared" si="299"/>
        <v>42134.864629629628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96"/>
        <v>0</v>
      </c>
      <c r="P2510">
        <f t="shared" si="297"/>
        <v>10000</v>
      </c>
      <c r="Q2510" t="str">
        <f t="shared" si="300"/>
        <v>food</v>
      </c>
      <c r="R2510" t="str">
        <f t="shared" si="301"/>
        <v>restaurants</v>
      </c>
      <c r="S2510" s="9">
        <f t="shared" si="298"/>
        <v>41835.743449074071</v>
      </c>
      <c r="T2510" s="9">
        <f t="shared" si="299"/>
        <v>41865.743449074071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96"/>
        <v>1.0526315789473684E-2</v>
      </c>
      <c r="P2511">
        <f t="shared" si="297"/>
        <v>48000</v>
      </c>
      <c r="Q2511" t="str">
        <f t="shared" si="300"/>
        <v>food</v>
      </c>
      <c r="R2511" t="str">
        <f t="shared" si="301"/>
        <v>restaurants</v>
      </c>
      <c r="S2511" s="9">
        <f t="shared" si="298"/>
        <v>42058.601261574069</v>
      </c>
      <c r="T2511" s="9">
        <f t="shared" si="299"/>
        <v>42114.559594907405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96"/>
        <v>1.5E-3</v>
      </c>
      <c r="P2512">
        <f t="shared" si="297"/>
        <v>25037.5</v>
      </c>
      <c r="Q2512" t="str">
        <f t="shared" si="300"/>
        <v>food</v>
      </c>
      <c r="R2512" t="str">
        <f t="shared" si="301"/>
        <v>restaurants</v>
      </c>
      <c r="S2512" s="9">
        <f t="shared" si="298"/>
        <v>42078.789027777777</v>
      </c>
      <c r="T2512" s="9">
        <f t="shared" si="299"/>
        <v>42138.789027777777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96"/>
        <v>0</v>
      </c>
      <c r="P2513">
        <f t="shared" si="297"/>
        <v>50000</v>
      </c>
      <c r="Q2513" t="str">
        <f t="shared" si="300"/>
        <v>food</v>
      </c>
      <c r="R2513" t="str">
        <f t="shared" si="301"/>
        <v>restaurants</v>
      </c>
      <c r="S2513" s="9">
        <f t="shared" si="298"/>
        <v>42371.238576388881</v>
      </c>
      <c r="T2513" s="9">
        <f t="shared" si="299"/>
        <v>42401.238576388881</v>
      </c>
    </row>
    <row r="2514" spans="1:20" ht="29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96"/>
        <v>0</v>
      </c>
      <c r="P2514">
        <f t="shared" si="297"/>
        <v>575</v>
      </c>
      <c r="Q2514" t="str">
        <f t="shared" si="300"/>
        <v>food</v>
      </c>
      <c r="R2514" t="str">
        <f t="shared" si="301"/>
        <v>restaurants</v>
      </c>
      <c r="S2514" s="9">
        <f t="shared" si="298"/>
        <v>41971.668530092589</v>
      </c>
      <c r="T2514" s="9">
        <f t="shared" si="299"/>
        <v>41986.668530092589</v>
      </c>
    </row>
    <row r="2515" spans="1:20" ht="43.5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96"/>
        <v>0</v>
      </c>
      <c r="P2515">
        <f t="shared" si="297"/>
        <v>90000</v>
      </c>
      <c r="Q2515" t="str">
        <f t="shared" si="300"/>
        <v>food</v>
      </c>
      <c r="R2515" t="str">
        <f t="shared" si="301"/>
        <v>restaurants</v>
      </c>
      <c r="S2515" s="9">
        <f t="shared" si="298"/>
        <v>42731.798483796294</v>
      </c>
      <c r="T2515" s="9">
        <f t="shared" si="299"/>
        <v>42791.798483796294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96"/>
        <v>1.7500000000000002E-2</v>
      </c>
      <c r="P2516">
        <f t="shared" si="297"/>
        <v>6105</v>
      </c>
      <c r="Q2516" t="str">
        <f t="shared" si="300"/>
        <v>food</v>
      </c>
      <c r="R2516" t="str">
        <f t="shared" si="301"/>
        <v>restaurants</v>
      </c>
      <c r="S2516" s="9">
        <f t="shared" si="298"/>
        <v>41854.181446759256</v>
      </c>
      <c r="T2516" s="9">
        <f t="shared" si="299"/>
        <v>41871.181446759256</v>
      </c>
    </row>
    <row r="2517" spans="1:20" ht="43.5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96"/>
        <v>0.186</v>
      </c>
      <c r="P2517">
        <f t="shared" si="297"/>
        <v>2965</v>
      </c>
      <c r="Q2517" t="str">
        <f t="shared" si="300"/>
        <v>food</v>
      </c>
      <c r="R2517" t="str">
        <f t="shared" si="301"/>
        <v>restaurants</v>
      </c>
      <c r="S2517" s="9">
        <f t="shared" si="298"/>
        <v>42027.63140046296</v>
      </c>
      <c r="T2517" s="9">
        <f t="shared" si="299"/>
        <v>42057.63140046296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96"/>
        <v>0</v>
      </c>
      <c r="P2518">
        <f t="shared" si="297"/>
        <v>11000</v>
      </c>
      <c r="Q2518" t="str">
        <f t="shared" si="300"/>
        <v>food</v>
      </c>
      <c r="R2518" t="str">
        <f t="shared" si="301"/>
        <v>restaurants</v>
      </c>
      <c r="S2518" s="9">
        <f t="shared" si="298"/>
        <v>41942.445046296292</v>
      </c>
      <c r="T2518" s="9">
        <f t="shared" si="299"/>
        <v>41972.486712962964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96"/>
        <v>9.8166666666666666E-2</v>
      </c>
      <c r="P2519">
        <f t="shared" si="297"/>
        <v>9883.5</v>
      </c>
      <c r="Q2519" t="str">
        <f t="shared" si="300"/>
        <v>food</v>
      </c>
      <c r="R2519" t="str">
        <f t="shared" si="301"/>
        <v>restaurants</v>
      </c>
      <c r="S2519" s="9">
        <f t="shared" si="298"/>
        <v>42052.594097222223</v>
      </c>
      <c r="T2519" s="9">
        <f t="shared" si="299"/>
        <v>42082.552430555552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96"/>
        <v>0</v>
      </c>
      <c r="P2520">
        <f t="shared" si="297"/>
        <v>2500</v>
      </c>
      <c r="Q2520" t="str">
        <f t="shared" si="300"/>
        <v>food</v>
      </c>
      <c r="R2520" t="str">
        <f t="shared" si="301"/>
        <v>restaurants</v>
      </c>
      <c r="S2520" s="9">
        <f t="shared" si="298"/>
        <v>41926.472546296296</v>
      </c>
      <c r="T2520" s="9">
        <f t="shared" si="299"/>
        <v>41956.51421296296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96"/>
        <v>4.3333333333333331E-4</v>
      </c>
      <c r="P2521">
        <f t="shared" si="297"/>
        <v>75032.5</v>
      </c>
      <c r="Q2521" t="str">
        <f t="shared" si="300"/>
        <v>food</v>
      </c>
      <c r="R2521" t="str">
        <f t="shared" si="301"/>
        <v>restaurants</v>
      </c>
      <c r="S2521" s="9">
        <f t="shared" si="298"/>
        <v>41808.946805555555</v>
      </c>
      <c r="T2521" s="9">
        <f t="shared" si="299"/>
        <v>41838.946805555555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96"/>
        <v>0</v>
      </c>
      <c r="P2522">
        <f t="shared" si="297"/>
        <v>50000</v>
      </c>
      <c r="Q2522" t="str">
        <f t="shared" si="300"/>
        <v>food</v>
      </c>
      <c r="R2522" t="str">
        <f t="shared" si="301"/>
        <v>restaurants</v>
      </c>
      <c r="S2522" s="9">
        <f t="shared" si="298"/>
        <v>42612.392187500001</v>
      </c>
      <c r="T2522" s="9">
        <f t="shared" si="299"/>
        <v>42658.597916666666</v>
      </c>
    </row>
    <row r="2523" spans="1:20" ht="43.5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96"/>
        <v>1.0948792000000001</v>
      </c>
      <c r="P2523">
        <f t="shared" si="297"/>
        <v>13092.994999999999</v>
      </c>
      <c r="Q2523" t="str">
        <f>IF(N2523="music/classical music","music")</f>
        <v>music</v>
      </c>
      <c r="R2523" t="str">
        <f>IF(N2523="music/classical music","classical music")</f>
        <v>classical music</v>
      </c>
      <c r="S2523" s="9">
        <f t="shared" si="298"/>
        <v>42269.75950231481</v>
      </c>
      <c r="T2523" s="9">
        <f t="shared" si="299"/>
        <v>42290.75950231481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96"/>
        <v>1</v>
      </c>
      <c r="P2524">
        <f t="shared" si="297"/>
        <v>5000</v>
      </c>
      <c r="Q2524" t="str">
        <f t="shared" ref="Q2524:Q2562" si="302">IF(N2524="music/classical music","music")</f>
        <v>music</v>
      </c>
      <c r="R2524" t="str">
        <f t="shared" ref="R2524:R2562" si="303">IF(N2524="music/classical music","classical music")</f>
        <v>classical music</v>
      </c>
      <c r="S2524" s="9">
        <f t="shared" si="298"/>
        <v>42460.365277777775</v>
      </c>
      <c r="T2524" s="9">
        <f t="shared" si="299"/>
        <v>42482.411111111105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96"/>
        <v>1.5644444444444445</v>
      </c>
      <c r="P2525">
        <f t="shared" si="297"/>
        <v>1154</v>
      </c>
      <c r="Q2525" t="str">
        <f t="shared" si="302"/>
        <v>music</v>
      </c>
      <c r="R2525" t="str">
        <f t="shared" si="303"/>
        <v>classical music</v>
      </c>
      <c r="S2525" s="9">
        <f t="shared" si="298"/>
        <v>41930.767268518517</v>
      </c>
      <c r="T2525" s="9">
        <f t="shared" si="299"/>
        <v>41960.808935185181</v>
      </c>
    </row>
    <row r="2526" spans="1:20" ht="29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96"/>
        <v>1.016</v>
      </c>
      <c r="P2526">
        <f t="shared" si="297"/>
        <v>7560</v>
      </c>
      <c r="Q2526" t="str">
        <f t="shared" si="302"/>
        <v>music</v>
      </c>
      <c r="R2526" t="str">
        <f t="shared" si="303"/>
        <v>classical music</v>
      </c>
      <c r="S2526" s="9">
        <f t="shared" si="298"/>
        <v>41961.599039351851</v>
      </c>
      <c r="T2526" s="9">
        <f t="shared" si="299"/>
        <v>41993.979166666664</v>
      </c>
    </row>
    <row r="2527" spans="1:20" ht="29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96"/>
        <v>1.00325</v>
      </c>
      <c r="P2527">
        <f t="shared" si="297"/>
        <v>8013</v>
      </c>
      <c r="Q2527" t="str">
        <f t="shared" si="302"/>
        <v>music</v>
      </c>
      <c r="R2527" t="str">
        <f t="shared" si="303"/>
        <v>classical music</v>
      </c>
      <c r="S2527" s="9">
        <f t="shared" si="298"/>
        <v>41058.636238425919</v>
      </c>
      <c r="T2527" s="9">
        <f t="shared" si="299"/>
        <v>41088.636238425919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96"/>
        <v>1.1294999999999999</v>
      </c>
      <c r="P2528">
        <f t="shared" si="297"/>
        <v>4259</v>
      </c>
      <c r="Q2528" t="str">
        <f t="shared" si="302"/>
        <v>music</v>
      </c>
      <c r="R2528" t="str">
        <f t="shared" si="303"/>
        <v>classical music</v>
      </c>
      <c r="S2528" s="9">
        <f t="shared" si="298"/>
        <v>41952.882800925923</v>
      </c>
      <c r="T2528" s="9">
        <f t="shared" si="299"/>
        <v>41980.999305555553</v>
      </c>
    </row>
    <row r="2529" spans="1:20" ht="29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96"/>
        <v>1.02125</v>
      </c>
      <c r="P2529">
        <f t="shared" si="297"/>
        <v>4042.5</v>
      </c>
      <c r="Q2529" t="str">
        <f t="shared" si="302"/>
        <v>music</v>
      </c>
      <c r="R2529" t="str">
        <f t="shared" si="303"/>
        <v>classical music</v>
      </c>
      <c r="S2529" s="9">
        <f t="shared" si="298"/>
        <v>41546.542719907404</v>
      </c>
      <c r="T2529" s="9">
        <f t="shared" si="299"/>
        <v>41564.957638888889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96"/>
        <v>1.0724974999999999</v>
      </c>
      <c r="P2530">
        <f t="shared" si="297"/>
        <v>4144.9949999999999</v>
      </c>
      <c r="Q2530" t="str">
        <f t="shared" si="302"/>
        <v>music</v>
      </c>
      <c r="R2530" t="str">
        <f t="shared" si="303"/>
        <v>classical music</v>
      </c>
      <c r="S2530" s="9">
        <f t="shared" si="298"/>
        <v>42217.626192129632</v>
      </c>
      <c r="T2530" s="9">
        <f t="shared" si="299"/>
        <v>42236.249999999993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96"/>
        <v>1.0428333333333333</v>
      </c>
      <c r="P2531">
        <f t="shared" si="297"/>
        <v>6128.5</v>
      </c>
      <c r="Q2531" t="str">
        <f t="shared" si="302"/>
        <v>music</v>
      </c>
      <c r="R2531" t="str">
        <f t="shared" si="303"/>
        <v>classical music</v>
      </c>
      <c r="S2531" s="9">
        <f t="shared" si="298"/>
        <v>40947.872395833328</v>
      </c>
      <c r="T2531" s="9">
        <f t="shared" si="299"/>
        <v>40992.830729166664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96"/>
        <v>1</v>
      </c>
      <c r="P2532">
        <f t="shared" si="297"/>
        <v>6500</v>
      </c>
      <c r="Q2532" t="str">
        <f t="shared" si="302"/>
        <v>music</v>
      </c>
      <c r="R2532" t="str">
        <f t="shared" si="303"/>
        <v>classical music</v>
      </c>
      <c r="S2532" s="9">
        <f t="shared" si="298"/>
        <v>42081.656307870369</v>
      </c>
      <c r="T2532" s="9">
        <f t="shared" si="299"/>
        <v>42113.993055555555</v>
      </c>
    </row>
    <row r="2533" spans="1:20" ht="43.5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96"/>
        <v>1.004</v>
      </c>
      <c r="P2533">
        <f t="shared" si="297"/>
        <v>4509</v>
      </c>
      <c r="Q2533" t="str">
        <f t="shared" si="302"/>
        <v>music</v>
      </c>
      <c r="R2533" t="str">
        <f t="shared" si="303"/>
        <v>classical music</v>
      </c>
      <c r="S2533" s="9">
        <f t="shared" si="298"/>
        <v>42208.471689814811</v>
      </c>
      <c r="T2533" s="9">
        <f t="shared" si="299"/>
        <v>42230.957638888889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96"/>
        <v>1.26125</v>
      </c>
      <c r="P2534">
        <f t="shared" si="297"/>
        <v>4522.5</v>
      </c>
      <c r="Q2534" t="str">
        <f t="shared" si="302"/>
        <v>music</v>
      </c>
      <c r="R2534" t="str">
        <f t="shared" si="303"/>
        <v>classical music</v>
      </c>
      <c r="S2534" s="9">
        <f t="shared" si="298"/>
        <v>41107.640810185185</v>
      </c>
      <c r="T2534" s="9">
        <f t="shared" si="299"/>
        <v>41137.640810185185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96"/>
        <v>1.1066666666666667</v>
      </c>
      <c r="P2535">
        <f t="shared" si="297"/>
        <v>7900</v>
      </c>
      <c r="Q2535" t="str">
        <f t="shared" si="302"/>
        <v>music</v>
      </c>
      <c r="R2535" t="str">
        <f t="shared" si="303"/>
        <v>classical music</v>
      </c>
      <c r="S2535" s="9">
        <f t="shared" si="298"/>
        <v>41304.542951388888</v>
      </c>
      <c r="T2535" s="9">
        <f t="shared" si="299"/>
        <v>41334.542453703703</v>
      </c>
    </row>
    <row r="2536" spans="1:20" ht="43.5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96"/>
        <v>1.05</v>
      </c>
      <c r="P2536">
        <f t="shared" si="297"/>
        <v>2050</v>
      </c>
      <c r="Q2536" t="str">
        <f t="shared" si="302"/>
        <v>music</v>
      </c>
      <c r="R2536" t="str">
        <f t="shared" si="303"/>
        <v>classical music</v>
      </c>
      <c r="S2536" s="9">
        <f t="shared" si="298"/>
        <v>40127.492037037031</v>
      </c>
      <c r="T2536" s="9">
        <f t="shared" si="299"/>
        <v>40179.041666666664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96"/>
        <v>1.03775</v>
      </c>
      <c r="P2537">
        <f t="shared" si="297"/>
        <v>20377.5</v>
      </c>
      <c r="Q2537" t="str">
        <f t="shared" si="302"/>
        <v>music</v>
      </c>
      <c r="R2537" t="str">
        <f t="shared" si="303"/>
        <v>classical music</v>
      </c>
      <c r="S2537" s="9">
        <f t="shared" si="298"/>
        <v>41943.582696759258</v>
      </c>
      <c r="T2537" s="9">
        <f t="shared" si="299"/>
        <v>41974.624363425923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96"/>
        <v>1.1599999999999999</v>
      </c>
      <c r="P2538">
        <f t="shared" si="297"/>
        <v>27</v>
      </c>
      <c r="Q2538" t="str">
        <f t="shared" si="302"/>
        <v>music</v>
      </c>
      <c r="R2538" t="str">
        <f t="shared" si="303"/>
        <v>classical music</v>
      </c>
      <c r="S2538" s="9">
        <f t="shared" si="298"/>
        <v>41463.89775462963</v>
      </c>
      <c r="T2538" s="9">
        <f t="shared" si="299"/>
        <v>41484.89775462963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96"/>
        <v>1.1000000000000001</v>
      </c>
      <c r="P2539">
        <f t="shared" si="297"/>
        <v>1050</v>
      </c>
      <c r="Q2539" t="str">
        <f t="shared" si="302"/>
        <v>music</v>
      </c>
      <c r="R2539" t="str">
        <f t="shared" si="303"/>
        <v>classical music</v>
      </c>
      <c r="S2539" s="9">
        <f t="shared" si="298"/>
        <v>40696.440451388888</v>
      </c>
      <c r="T2539" s="9">
        <f t="shared" si="299"/>
        <v>40756.440451388888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96"/>
        <v>1.130176111111111</v>
      </c>
      <c r="P2540">
        <f t="shared" si="297"/>
        <v>19171.584999999999</v>
      </c>
      <c r="Q2540" t="str">
        <f t="shared" si="302"/>
        <v>music</v>
      </c>
      <c r="R2540" t="str">
        <f t="shared" si="303"/>
        <v>classical music</v>
      </c>
      <c r="S2540" s="9">
        <f t="shared" si="298"/>
        <v>41298.301631944443</v>
      </c>
      <c r="T2540" s="9">
        <f t="shared" si="299"/>
        <v>41328.999305555553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96"/>
        <v>1.0024999999999999</v>
      </c>
      <c r="P2541">
        <f t="shared" si="297"/>
        <v>10012.5</v>
      </c>
      <c r="Q2541" t="str">
        <f t="shared" si="302"/>
        <v>music</v>
      </c>
      <c r="R2541" t="str">
        <f t="shared" si="303"/>
        <v>classical music</v>
      </c>
      <c r="S2541" s="9">
        <f t="shared" si="298"/>
        <v>41977.693888888891</v>
      </c>
      <c r="T2541" s="9">
        <f t="shared" si="299"/>
        <v>42037.693888888891</v>
      </c>
    </row>
    <row r="2542" spans="1:20" ht="43.5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96"/>
        <v>1.034</v>
      </c>
      <c r="P2542">
        <f t="shared" si="297"/>
        <v>2542.5</v>
      </c>
      <c r="Q2542" t="str">
        <f t="shared" si="302"/>
        <v>music</v>
      </c>
      <c r="R2542" t="str">
        <f t="shared" si="303"/>
        <v>classical music</v>
      </c>
      <c r="S2542" s="9">
        <f t="shared" si="298"/>
        <v>40785.466678240737</v>
      </c>
      <c r="T2542" s="9">
        <f t="shared" si="299"/>
        <v>40845.466678240737</v>
      </c>
    </row>
    <row r="2543" spans="1:20" ht="43.5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96"/>
        <v>1.0702857142857143</v>
      </c>
      <c r="P2543">
        <f t="shared" si="297"/>
        <v>3623</v>
      </c>
      <c r="Q2543" t="str">
        <f t="shared" si="302"/>
        <v>music</v>
      </c>
      <c r="R2543" t="str">
        <f t="shared" si="303"/>
        <v>classical music</v>
      </c>
      <c r="S2543" s="9">
        <f t="shared" si="298"/>
        <v>41483.240949074076</v>
      </c>
      <c r="T2543" s="9">
        <f t="shared" si="299"/>
        <v>41543.240949074076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96"/>
        <v>1.0357142857142858</v>
      </c>
      <c r="P2544">
        <f t="shared" si="297"/>
        <v>712.5</v>
      </c>
      <c r="Q2544" t="str">
        <f t="shared" si="302"/>
        <v>music</v>
      </c>
      <c r="R2544" t="str">
        <f t="shared" si="303"/>
        <v>classical music</v>
      </c>
      <c r="S2544" s="9">
        <f t="shared" si="298"/>
        <v>41509.218252314815</v>
      </c>
      <c r="T2544" s="9">
        <f t="shared" si="299"/>
        <v>41547.957638888889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96"/>
        <v>1.5640000000000001</v>
      </c>
      <c r="P2545">
        <f t="shared" si="297"/>
        <v>320.5</v>
      </c>
      <c r="Q2545" t="str">
        <f t="shared" si="302"/>
        <v>music</v>
      </c>
      <c r="R2545" t="str">
        <f t="shared" si="303"/>
        <v>classical music</v>
      </c>
      <c r="S2545" s="9">
        <f t="shared" si="298"/>
        <v>40513.899282407401</v>
      </c>
      <c r="T2545" s="9">
        <f t="shared" si="299"/>
        <v>40544.916666666664</v>
      </c>
    </row>
    <row r="2546" spans="1:20" ht="29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96"/>
        <v>1.0082</v>
      </c>
      <c r="P2546">
        <f t="shared" si="297"/>
        <v>5020.5</v>
      </c>
      <c r="Q2546" t="str">
        <f t="shared" si="302"/>
        <v>music</v>
      </c>
      <c r="R2546" t="str">
        <f t="shared" si="303"/>
        <v>classical music</v>
      </c>
      <c r="S2546" s="9">
        <f t="shared" si="298"/>
        <v>41068.3121412037</v>
      </c>
      <c r="T2546" s="9">
        <f t="shared" si="299"/>
        <v>41098.3121412037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96"/>
        <v>1.9530000000000001</v>
      </c>
      <c r="P2547">
        <f t="shared" si="297"/>
        <v>2953</v>
      </c>
      <c r="Q2547" t="str">
        <f t="shared" si="302"/>
        <v>music</v>
      </c>
      <c r="R2547" t="str">
        <f t="shared" si="303"/>
        <v>classical music</v>
      </c>
      <c r="S2547" s="9">
        <f t="shared" si="298"/>
        <v>42026.929837962962</v>
      </c>
      <c r="T2547" s="9">
        <f t="shared" si="299"/>
        <v>42061.812499999993</v>
      </c>
    </row>
    <row r="2548" spans="1:20" ht="29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96"/>
        <v>1.1171428571428572</v>
      </c>
      <c r="P2548">
        <f t="shared" si="297"/>
        <v>3705</v>
      </c>
      <c r="Q2548" t="str">
        <f t="shared" si="302"/>
        <v>music</v>
      </c>
      <c r="R2548" t="str">
        <f t="shared" si="303"/>
        <v>classical music</v>
      </c>
      <c r="S2548" s="9">
        <f t="shared" si="298"/>
        <v>41524.650219907409</v>
      </c>
      <c r="T2548" s="9">
        <f t="shared" si="299"/>
        <v>41552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96"/>
        <v>1.1985454545454546</v>
      </c>
      <c r="P2549">
        <f t="shared" si="297"/>
        <v>6046</v>
      </c>
      <c r="Q2549" t="str">
        <f t="shared" si="302"/>
        <v>music</v>
      </c>
      <c r="R2549" t="str">
        <f t="shared" si="303"/>
        <v>classical music</v>
      </c>
      <c r="S2549" s="9">
        <f t="shared" si="298"/>
        <v>40973.564849537033</v>
      </c>
      <c r="T2549" s="9">
        <f t="shared" si="299"/>
        <v>41003.523182870369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96"/>
        <v>1.0185</v>
      </c>
      <c r="P2550">
        <f t="shared" si="297"/>
        <v>6055.5</v>
      </c>
      <c r="Q2550" t="str">
        <f t="shared" si="302"/>
        <v>music</v>
      </c>
      <c r="R2550" t="str">
        <f t="shared" si="303"/>
        <v>classical music</v>
      </c>
      <c r="S2550" s="9">
        <f t="shared" si="298"/>
        <v>42618.417094907403</v>
      </c>
      <c r="T2550" s="9">
        <f t="shared" si="299"/>
        <v>42642.977083333331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96"/>
        <v>1.0280254777070064</v>
      </c>
      <c r="P2551">
        <f t="shared" si="297"/>
        <v>1592</v>
      </c>
      <c r="Q2551" t="str">
        <f t="shared" si="302"/>
        <v>music</v>
      </c>
      <c r="R2551" t="str">
        <f t="shared" si="303"/>
        <v>classical music</v>
      </c>
      <c r="S2551" s="9">
        <f t="shared" si="298"/>
        <v>41390.549421296295</v>
      </c>
      <c r="T2551" s="9">
        <f t="shared" si="299"/>
        <v>41425.5</v>
      </c>
    </row>
    <row r="2552" spans="1:20" ht="43.5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96"/>
        <v>1.0084615384615385</v>
      </c>
      <c r="P2552">
        <f t="shared" si="297"/>
        <v>6527.5</v>
      </c>
      <c r="Q2552" t="str">
        <f t="shared" si="302"/>
        <v>music</v>
      </c>
      <c r="R2552" t="str">
        <f t="shared" si="303"/>
        <v>classical music</v>
      </c>
      <c r="S2552" s="9">
        <f t="shared" si="298"/>
        <v>42228.425995370366</v>
      </c>
      <c r="T2552" s="9">
        <f t="shared" si="299"/>
        <v>42284.957638888889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96"/>
        <v>1.0273469387755103</v>
      </c>
      <c r="P2553">
        <f t="shared" si="297"/>
        <v>3725.25</v>
      </c>
      <c r="Q2553" t="str">
        <f t="shared" si="302"/>
        <v>music</v>
      </c>
      <c r="R2553" t="str">
        <f t="shared" si="303"/>
        <v>classical music</v>
      </c>
      <c r="S2553" s="9">
        <f t="shared" si="298"/>
        <v>40961.043807870366</v>
      </c>
      <c r="T2553" s="9">
        <f t="shared" si="299"/>
        <v>40989.658333333333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96"/>
        <v>1.0649999999999999</v>
      </c>
      <c r="P2554">
        <f t="shared" si="297"/>
        <v>3097.5</v>
      </c>
      <c r="Q2554" t="str">
        <f t="shared" si="302"/>
        <v>music</v>
      </c>
      <c r="R2554" t="str">
        <f t="shared" si="303"/>
        <v>classical music</v>
      </c>
      <c r="S2554" s="9">
        <f t="shared" si="298"/>
        <v>42769.601631944439</v>
      </c>
      <c r="T2554" s="9">
        <f t="shared" si="299"/>
        <v>42799.601631944439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96"/>
        <v>1.5553333333333332</v>
      </c>
      <c r="P2555">
        <f t="shared" si="297"/>
        <v>1916.5</v>
      </c>
      <c r="Q2555" t="str">
        <f t="shared" si="302"/>
        <v>music</v>
      </c>
      <c r="R2555" t="str">
        <f t="shared" si="303"/>
        <v>classical music</v>
      </c>
      <c r="S2555" s="9">
        <f t="shared" si="298"/>
        <v>41112.990821759253</v>
      </c>
      <c r="T2555" s="9">
        <f t="shared" si="299"/>
        <v>41172.990821759253</v>
      </c>
    </row>
    <row r="2556" spans="1:20" ht="43.5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96"/>
        <v>1.228</v>
      </c>
      <c r="P2556">
        <f t="shared" si="297"/>
        <v>3342</v>
      </c>
      <c r="Q2556" t="str">
        <f t="shared" si="302"/>
        <v>music</v>
      </c>
      <c r="R2556" t="str">
        <f t="shared" si="303"/>
        <v>classical music</v>
      </c>
      <c r="S2556" s="9">
        <f t="shared" si="298"/>
        <v>42124.869942129626</v>
      </c>
      <c r="T2556" s="9">
        <f t="shared" si="299"/>
        <v>42155.957638888889</v>
      </c>
    </row>
    <row r="2557" spans="1:20" ht="43.5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96"/>
        <v>1.0734999999999999</v>
      </c>
      <c r="P2557">
        <f t="shared" si="297"/>
        <v>2073.5</v>
      </c>
      <c r="Q2557" t="str">
        <f t="shared" si="302"/>
        <v>music</v>
      </c>
      <c r="R2557" t="str">
        <f t="shared" si="303"/>
        <v>classical music</v>
      </c>
      <c r="S2557" s="9">
        <f t="shared" si="298"/>
        <v>41026.44667824074</v>
      </c>
      <c r="T2557" s="9">
        <f t="shared" si="299"/>
        <v>41057.44667824074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96"/>
        <v>1.0550335570469798</v>
      </c>
      <c r="P2558">
        <f t="shared" si="297"/>
        <v>765.5</v>
      </c>
      <c r="Q2558" t="str">
        <f t="shared" si="302"/>
        <v>music</v>
      </c>
      <c r="R2558" t="str">
        <f t="shared" si="303"/>
        <v>classical music</v>
      </c>
      <c r="S2558" s="9">
        <f t="shared" si="298"/>
        <v>41222.783067129625</v>
      </c>
      <c r="T2558" s="9">
        <f t="shared" si="299"/>
        <v>41267.783067129625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96"/>
        <v>1.1844444444444444</v>
      </c>
      <c r="P2559">
        <f t="shared" si="297"/>
        <v>983</v>
      </c>
      <c r="Q2559" t="str">
        <f t="shared" si="302"/>
        <v>music</v>
      </c>
      <c r="R2559" t="str">
        <f t="shared" si="303"/>
        <v>classical music</v>
      </c>
      <c r="S2559" s="9">
        <f t="shared" si="298"/>
        <v>41744.536874999998</v>
      </c>
      <c r="T2559" s="9">
        <f t="shared" si="299"/>
        <v>41774.536874999998</v>
      </c>
    </row>
    <row r="2560" spans="1:20" ht="29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96"/>
        <v>1.0888</v>
      </c>
      <c r="P2560">
        <f t="shared" si="297"/>
        <v>1305.5</v>
      </c>
      <c r="Q2560" t="str">
        <f t="shared" si="302"/>
        <v>music</v>
      </c>
      <c r="R2560" t="str">
        <f t="shared" si="303"/>
        <v>classical music</v>
      </c>
      <c r="S2560" s="9">
        <f t="shared" si="298"/>
        <v>42093.651689814811</v>
      </c>
      <c r="T2560" s="9">
        <f t="shared" si="299"/>
        <v>42125.374305555553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96"/>
        <v>1.1125</v>
      </c>
      <c r="P2561">
        <f t="shared" si="297"/>
        <v>845</v>
      </c>
      <c r="Q2561" t="str">
        <f t="shared" si="302"/>
        <v>music</v>
      </c>
      <c r="R2561" t="str">
        <f t="shared" si="303"/>
        <v>classical music</v>
      </c>
      <c r="S2561" s="9">
        <f t="shared" si="298"/>
        <v>40829.665324074071</v>
      </c>
      <c r="T2561" s="9">
        <f t="shared" si="299"/>
        <v>40862.609027777777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96"/>
        <v>1.0009999999999999</v>
      </c>
      <c r="P2562">
        <f t="shared" si="297"/>
        <v>3001.5</v>
      </c>
      <c r="Q2562" t="str">
        <f t="shared" si="302"/>
        <v>music</v>
      </c>
      <c r="R2562" t="str">
        <f t="shared" si="303"/>
        <v>classical music</v>
      </c>
      <c r="S2562" s="9">
        <f t="shared" si="298"/>
        <v>42039.742754629631</v>
      </c>
      <c r="T2562" s="9">
        <f t="shared" si="299"/>
        <v>42069.742754629631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304">E2563/D2563</f>
        <v>0</v>
      </c>
      <c r="P2563">
        <f t="shared" ref="P2563:P2626" si="305">AVERAGE(D2563:E2563)</f>
        <v>50000</v>
      </c>
      <c r="Q2563" t="str">
        <f>IF(N2563="food/food trucks","food")</f>
        <v>food</v>
      </c>
      <c r="R2563" t="str">
        <f>IF(N2563="food/food trucks","food trucks")</f>
        <v>food trucks</v>
      </c>
      <c r="S2563" s="9">
        <f t="shared" ref="S2563:S2626" si="306">J2563/86400+25569+(-5/24)</f>
        <v>42260.320474537039</v>
      </c>
      <c r="T2563" s="9">
        <f t="shared" si="299"/>
        <v>42290.320474537039</v>
      </c>
    </row>
    <row r="2564" spans="1:20" ht="43.5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304"/>
        <v>7.4999999999999997E-3</v>
      </c>
      <c r="P2564">
        <f t="shared" si="305"/>
        <v>5037.5</v>
      </c>
      <c r="Q2564" t="str">
        <f t="shared" ref="Q2564:Q2602" si="307">IF(N2564="food/food trucks","food")</f>
        <v>food</v>
      </c>
      <c r="R2564" t="str">
        <f t="shared" ref="R2564:R2602" si="308">IF(N2564="food/food trucks","food trucks")</f>
        <v>food trucks</v>
      </c>
      <c r="S2564" s="9">
        <f t="shared" si="306"/>
        <v>42594.316423611112</v>
      </c>
      <c r="T2564" s="9">
        <f t="shared" ref="T2564:T2627" si="309">I2564/86400+25569+(-5/24)</f>
        <v>42654.316423611112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304"/>
        <v>0</v>
      </c>
      <c r="P2565">
        <f t="shared" si="305"/>
        <v>10000</v>
      </c>
      <c r="Q2565" t="str">
        <f t="shared" si="307"/>
        <v>food</v>
      </c>
      <c r="R2565" t="str">
        <f t="shared" si="308"/>
        <v>food trucks</v>
      </c>
      <c r="S2565" s="9">
        <f t="shared" si="306"/>
        <v>42154.931145833332</v>
      </c>
      <c r="T2565" s="9">
        <f t="shared" si="309"/>
        <v>42214.931145833332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304"/>
        <v>0</v>
      </c>
      <c r="P2566">
        <f t="shared" si="305"/>
        <v>20000</v>
      </c>
      <c r="Q2566" t="str">
        <f t="shared" si="307"/>
        <v>food</v>
      </c>
      <c r="R2566" t="str">
        <f t="shared" si="308"/>
        <v>food trucks</v>
      </c>
      <c r="S2566" s="9">
        <f t="shared" si="306"/>
        <v>41821.83216435185</v>
      </c>
      <c r="T2566" s="9">
        <f t="shared" si="309"/>
        <v>41851.83216435185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304"/>
        <v>0.01</v>
      </c>
      <c r="P2567">
        <f t="shared" si="305"/>
        <v>5050</v>
      </c>
      <c r="Q2567" t="str">
        <f t="shared" si="307"/>
        <v>food</v>
      </c>
      <c r="R2567" t="str">
        <f t="shared" si="308"/>
        <v>food trucks</v>
      </c>
      <c r="S2567" s="9">
        <f t="shared" si="306"/>
        <v>42440.442002314812</v>
      </c>
      <c r="T2567" s="9">
        <f t="shared" si="309"/>
        <v>42499.659722222219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304"/>
        <v>0</v>
      </c>
      <c r="P2568">
        <f t="shared" si="305"/>
        <v>17500</v>
      </c>
      <c r="Q2568" t="str">
        <f t="shared" si="307"/>
        <v>food</v>
      </c>
      <c r="R2568" t="str">
        <f t="shared" si="308"/>
        <v>food trucks</v>
      </c>
      <c r="S2568" s="9">
        <f t="shared" si="306"/>
        <v>41842.772546296292</v>
      </c>
      <c r="T2568" s="9">
        <f t="shared" si="309"/>
        <v>41872.772546296292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304"/>
        <v>2.6666666666666666E-3</v>
      </c>
      <c r="P2569">
        <f t="shared" si="305"/>
        <v>22560</v>
      </c>
      <c r="Q2569" t="str">
        <f t="shared" si="307"/>
        <v>food</v>
      </c>
      <c r="R2569" t="str">
        <f t="shared" si="308"/>
        <v>food trucks</v>
      </c>
      <c r="S2569" s="9">
        <f t="shared" si="306"/>
        <v>42087.670578703699</v>
      </c>
      <c r="T2569" s="9">
        <f t="shared" si="309"/>
        <v>42117.670578703699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304"/>
        <v>5.0000000000000001E-3</v>
      </c>
      <c r="P2570">
        <f t="shared" si="305"/>
        <v>5025</v>
      </c>
      <c r="Q2570" t="str">
        <f t="shared" si="307"/>
        <v>food</v>
      </c>
      <c r="R2570" t="str">
        <f t="shared" si="308"/>
        <v>food trucks</v>
      </c>
      <c r="S2570" s="9">
        <f t="shared" si="306"/>
        <v>42584.45826388889</v>
      </c>
      <c r="T2570" s="9">
        <f t="shared" si="309"/>
        <v>42614.45826388889</v>
      </c>
    </row>
    <row r="2571" spans="1:20" ht="29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304"/>
        <v>2.2307692307692306E-2</v>
      </c>
      <c r="P2571">
        <f t="shared" si="305"/>
        <v>3322.5</v>
      </c>
      <c r="Q2571" t="str">
        <f t="shared" si="307"/>
        <v>food</v>
      </c>
      <c r="R2571" t="str">
        <f t="shared" si="308"/>
        <v>food trucks</v>
      </c>
      <c r="S2571" s="9">
        <f t="shared" si="306"/>
        <v>42233.897129629629</v>
      </c>
      <c r="T2571" s="9">
        <f t="shared" si="309"/>
        <v>42263.897129629629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304"/>
        <v>8.4285714285714294E-3</v>
      </c>
      <c r="P2572">
        <f t="shared" si="305"/>
        <v>3529.5</v>
      </c>
      <c r="Q2572" t="str">
        <f t="shared" si="307"/>
        <v>food</v>
      </c>
      <c r="R2572" t="str">
        <f t="shared" si="308"/>
        <v>food trucks</v>
      </c>
      <c r="S2572" s="9">
        <f t="shared" si="306"/>
        <v>42744.694849537038</v>
      </c>
      <c r="T2572" s="9">
        <f t="shared" si="309"/>
        <v>42774.694849537038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304"/>
        <v>2.5000000000000001E-3</v>
      </c>
      <c r="P2573">
        <f t="shared" si="305"/>
        <v>50125</v>
      </c>
      <c r="Q2573" t="str">
        <f t="shared" si="307"/>
        <v>food</v>
      </c>
      <c r="R2573" t="str">
        <f t="shared" si="308"/>
        <v>food trucks</v>
      </c>
      <c r="S2573" s="9">
        <f t="shared" si="306"/>
        <v>42449.133344907408</v>
      </c>
      <c r="T2573" s="9">
        <f t="shared" si="309"/>
        <v>42509.133344907408</v>
      </c>
    </row>
    <row r="2574" spans="1:20" ht="29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304"/>
        <v>0</v>
      </c>
      <c r="P2574">
        <f t="shared" si="305"/>
        <v>15000</v>
      </c>
      <c r="Q2574" t="str">
        <f t="shared" si="307"/>
        <v>food</v>
      </c>
      <c r="R2574" t="str">
        <f t="shared" si="308"/>
        <v>food trucks</v>
      </c>
      <c r="S2574" s="9">
        <f t="shared" si="306"/>
        <v>42076.911076388882</v>
      </c>
      <c r="T2574" s="9">
        <f t="shared" si="309"/>
        <v>42106.911076388882</v>
      </c>
    </row>
    <row r="2575" spans="1:20" ht="43.5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304"/>
        <v>0</v>
      </c>
      <c r="P2575">
        <f t="shared" si="305"/>
        <v>4000</v>
      </c>
      <c r="Q2575" t="str">
        <f t="shared" si="307"/>
        <v>food</v>
      </c>
      <c r="R2575" t="str">
        <f t="shared" si="308"/>
        <v>food trucks</v>
      </c>
      <c r="S2575" s="9">
        <f t="shared" si="306"/>
        <v>41829.383668981478</v>
      </c>
      <c r="T2575" s="9">
        <f t="shared" si="309"/>
        <v>41874.383668981478</v>
      </c>
    </row>
    <row r="2576" spans="1:20" ht="43.5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304"/>
        <v>0</v>
      </c>
      <c r="P2576">
        <f t="shared" si="305"/>
        <v>5000</v>
      </c>
      <c r="Q2576" t="str">
        <f t="shared" si="307"/>
        <v>food</v>
      </c>
      <c r="R2576" t="str">
        <f t="shared" si="308"/>
        <v>food trucks</v>
      </c>
      <c r="S2576" s="9">
        <f t="shared" si="306"/>
        <v>42487.617418981477</v>
      </c>
      <c r="T2576" s="9">
        <f t="shared" si="309"/>
        <v>42508.617418981477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304"/>
        <v>0</v>
      </c>
      <c r="P2577">
        <f t="shared" si="305"/>
        <v>42500</v>
      </c>
      <c r="Q2577" t="str">
        <f t="shared" si="307"/>
        <v>food</v>
      </c>
      <c r="R2577" t="str">
        <f t="shared" si="308"/>
        <v>food trucks</v>
      </c>
      <c r="S2577" s="9">
        <f t="shared" si="306"/>
        <v>41985.900393518517</v>
      </c>
      <c r="T2577" s="9">
        <f t="shared" si="309"/>
        <v>42015.900393518517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304"/>
        <v>0</v>
      </c>
      <c r="P2578">
        <f t="shared" si="305"/>
        <v>5000</v>
      </c>
      <c r="Q2578" t="str">
        <f t="shared" si="307"/>
        <v>food</v>
      </c>
      <c r="R2578" t="str">
        <f t="shared" si="308"/>
        <v>food trucks</v>
      </c>
      <c r="S2578" s="9">
        <f t="shared" si="306"/>
        <v>42059.801469907405</v>
      </c>
      <c r="T2578" s="9">
        <f t="shared" si="309"/>
        <v>42104.759803240733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304"/>
        <v>0</v>
      </c>
      <c r="P2579">
        <f t="shared" si="305"/>
        <v>7500</v>
      </c>
      <c r="Q2579" t="str">
        <f t="shared" si="307"/>
        <v>food</v>
      </c>
      <c r="R2579" t="str">
        <f t="shared" si="308"/>
        <v>food trucks</v>
      </c>
      <c r="S2579" s="9">
        <f t="shared" si="306"/>
        <v>41830.612233796295</v>
      </c>
      <c r="T2579" s="9">
        <f t="shared" si="309"/>
        <v>41855.612233796295</v>
      </c>
    </row>
    <row r="2580" spans="1:20" ht="43.5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304"/>
        <v>0</v>
      </c>
      <c r="P2580">
        <f t="shared" si="305"/>
        <v>3000</v>
      </c>
      <c r="Q2580" t="str">
        <f t="shared" si="307"/>
        <v>food</v>
      </c>
      <c r="R2580" t="str">
        <f t="shared" si="308"/>
        <v>food trucks</v>
      </c>
      <c r="S2580" s="9">
        <f t="shared" si="306"/>
        <v>42237.814571759256</v>
      </c>
      <c r="T2580" s="9">
        <f t="shared" si="309"/>
        <v>42286.499999999993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304"/>
        <v>1.3849999999999999E-3</v>
      </c>
      <c r="P2581">
        <f t="shared" si="305"/>
        <v>100138.5</v>
      </c>
      <c r="Q2581" t="str">
        <f t="shared" si="307"/>
        <v>food</v>
      </c>
      <c r="R2581" t="str">
        <f t="shared" si="308"/>
        <v>food trucks</v>
      </c>
      <c r="S2581" s="9">
        <f t="shared" si="306"/>
        <v>41837.621562499997</v>
      </c>
      <c r="T2581" s="9">
        <f t="shared" si="309"/>
        <v>41897.621562499997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304"/>
        <v>6.0000000000000001E-3</v>
      </c>
      <c r="P2582">
        <f t="shared" si="305"/>
        <v>4275.5</v>
      </c>
      <c r="Q2582" t="str">
        <f t="shared" si="307"/>
        <v>food</v>
      </c>
      <c r="R2582" t="str">
        <f t="shared" si="308"/>
        <v>food trucks</v>
      </c>
      <c r="S2582" s="9">
        <f t="shared" si="306"/>
        <v>42110.118090277778</v>
      </c>
      <c r="T2582" s="9">
        <f t="shared" si="309"/>
        <v>42139.916666666664</v>
      </c>
    </row>
    <row r="2583" spans="1:20" ht="29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304"/>
        <v>0.106</v>
      </c>
      <c r="P2583">
        <f t="shared" si="305"/>
        <v>2765</v>
      </c>
      <c r="Q2583" t="str">
        <f t="shared" si="307"/>
        <v>food</v>
      </c>
      <c r="R2583" t="str">
        <f t="shared" si="308"/>
        <v>food trucks</v>
      </c>
      <c r="S2583" s="9">
        <f t="shared" si="306"/>
        <v>42294.420115740737</v>
      </c>
      <c r="T2583" s="9">
        <f t="shared" si="309"/>
        <v>42324.461782407401</v>
      </c>
    </row>
    <row r="2584" spans="1:20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304"/>
        <v>1.1111111111111112E-5</v>
      </c>
      <c r="P2584">
        <f t="shared" si="305"/>
        <v>45000.5</v>
      </c>
      <c r="Q2584" t="str">
        <f t="shared" si="307"/>
        <v>food</v>
      </c>
      <c r="R2584" t="str">
        <f t="shared" si="308"/>
        <v>food trucks</v>
      </c>
      <c r="S2584" s="9">
        <f t="shared" si="306"/>
        <v>42642.780486111107</v>
      </c>
      <c r="T2584" s="9">
        <f t="shared" si="309"/>
        <v>42672.780486111107</v>
      </c>
    </row>
    <row r="2585" spans="1:20" ht="29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304"/>
        <v>5.0000000000000001E-3</v>
      </c>
      <c r="P2585">
        <f t="shared" si="305"/>
        <v>502.5</v>
      </c>
      <c r="Q2585" t="str">
        <f t="shared" si="307"/>
        <v>food</v>
      </c>
      <c r="R2585" t="str">
        <f t="shared" si="308"/>
        <v>food trucks</v>
      </c>
      <c r="S2585" s="9">
        <f t="shared" si="306"/>
        <v>42019.561111111114</v>
      </c>
      <c r="T2585" s="9">
        <f t="shared" si="309"/>
        <v>42079.519444444442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304"/>
        <v>0</v>
      </c>
      <c r="P2586">
        <f t="shared" si="305"/>
        <v>5000</v>
      </c>
      <c r="Q2586" t="str">
        <f t="shared" si="307"/>
        <v>food</v>
      </c>
      <c r="R2586" t="str">
        <f t="shared" si="308"/>
        <v>food trucks</v>
      </c>
      <c r="S2586" s="9">
        <f t="shared" si="306"/>
        <v>42139.964918981474</v>
      </c>
      <c r="T2586" s="9">
        <f t="shared" si="309"/>
        <v>42169.964918981474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304"/>
        <v>1.6666666666666668E-3</v>
      </c>
      <c r="P2587">
        <f t="shared" si="305"/>
        <v>15025</v>
      </c>
      <c r="Q2587" t="str">
        <f t="shared" si="307"/>
        <v>food</v>
      </c>
      <c r="R2587" t="str">
        <f t="shared" si="308"/>
        <v>food trucks</v>
      </c>
      <c r="S2587" s="9">
        <f t="shared" si="306"/>
        <v>41795.754999999997</v>
      </c>
      <c r="T2587" s="9">
        <f t="shared" si="309"/>
        <v>41825.754999999997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304"/>
        <v>1.6666666666666668E-3</v>
      </c>
      <c r="P2588">
        <f t="shared" si="305"/>
        <v>1502.5</v>
      </c>
      <c r="Q2588" t="str">
        <f t="shared" si="307"/>
        <v>food</v>
      </c>
      <c r="R2588" t="str">
        <f t="shared" si="308"/>
        <v>food trucks</v>
      </c>
      <c r="S2588" s="9">
        <f t="shared" si="306"/>
        <v>42333.121944444443</v>
      </c>
      <c r="T2588" s="9">
        <f t="shared" si="309"/>
        <v>42363.121944444443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304"/>
        <v>2.4340000000000001E-2</v>
      </c>
      <c r="P2589">
        <f t="shared" si="305"/>
        <v>25608.5</v>
      </c>
      <c r="Q2589" t="str">
        <f t="shared" si="307"/>
        <v>food</v>
      </c>
      <c r="R2589" t="str">
        <f t="shared" si="308"/>
        <v>food trucks</v>
      </c>
      <c r="S2589" s="9">
        <f t="shared" si="306"/>
        <v>42338.467048611106</v>
      </c>
      <c r="T2589" s="9">
        <f t="shared" si="309"/>
        <v>42368.467048611106</v>
      </c>
    </row>
    <row r="2590" spans="1:20" ht="43.5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304"/>
        <v>3.8833333333333331E-2</v>
      </c>
      <c r="P2590">
        <f t="shared" si="305"/>
        <v>3116.5</v>
      </c>
      <c r="Q2590" t="str">
        <f t="shared" si="307"/>
        <v>food</v>
      </c>
      <c r="R2590" t="str">
        <f t="shared" si="308"/>
        <v>food trucks</v>
      </c>
      <c r="S2590" s="9">
        <f t="shared" si="306"/>
        <v>42042.467893518515</v>
      </c>
      <c r="T2590" s="9">
        <f t="shared" si="309"/>
        <v>42094.343055555553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304"/>
        <v>1E-4</v>
      </c>
      <c r="P2591">
        <f t="shared" si="305"/>
        <v>25002.5</v>
      </c>
      <c r="Q2591" t="str">
        <f t="shared" si="307"/>
        <v>food</v>
      </c>
      <c r="R2591" t="str">
        <f t="shared" si="308"/>
        <v>food trucks</v>
      </c>
      <c r="S2591" s="9">
        <f t="shared" si="306"/>
        <v>42422.327858796292</v>
      </c>
      <c r="T2591" s="9">
        <f t="shared" si="309"/>
        <v>42452.286192129628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304"/>
        <v>0</v>
      </c>
      <c r="P2592">
        <f t="shared" si="305"/>
        <v>1500</v>
      </c>
      <c r="Q2592" t="str">
        <f t="shared" si="307"/>
        <v>food</v>
      </c>
      <c r="R2592" t="str">
        <f t="shared" si="308"/>
        <v>food trucks</v>
      </c>
      <c r="S2592" s="9">
        <f t="shared" si="306"/>
        <v>42388.380752314813</v>
      </c>
      <c r="T2592" s="9">
        <f t="shared" si="309"/>
        <v>42395.380752314813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304"/>
        <v>1.7333333333333333E-2</v>
      </c>
      <c r="P2593">
        <f t="shared" si="305"/>
        <v>763</v>
      </c>
      <c r="Q2593" t="str">
        <f t="shared" si="307"/>
        <v>food</v>
      </c>
      <c r="R2593" t="str">
        <f t="shared" si="308"/>
        <v>food trucks</v>
      </c>
      <c r="S2593" s="9">
        <f t="shared" si="306"/>
        <v>42382.698194444441</v>
      </c>
      <c r="T2593" s="9">
        <f t="shared" si="309"/>
        <v>42442.656527777777</v>
      </c>
    </row>
    <row r="2594" spans="1:20" ht="43.5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304"/>
        <v>1.6666666666666668E-3</v>
      </c>
      <c r="P2594">
        <f t="shared" si="305"/>
        <v>15025</v>
      </c>
      <c r="Q2594" t="str">
        <f t="shared" si="307"/>
        <v>food</v>
      </c>
      <c r="R2594" t="str">
        <f t="shared" si="308"/>
        <v>food trucks</v>
      </c>
      <c r="S2594" s="9">
        <f t="shared" si="306"/>
        <v>41887.592835648145</v>
      </c>
      <c r="T2594" s="9">
        <f t="shared" si="309"/>
        <v>41917.592835648145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304"/>
        <v>0</v>
      </c>
      <c r="P2595">
        <f t="shared" si="305"/>
        <v>5000</v>
      </c>
      <c r="Q2595" t="str">
        <f t="shared" si="307"/>
        <v>food</v>
      </c>
      <c r="R2595" t="str">
        <f t="shared" si="308"/>
        <v>food trucks</v>
      </c>
      <c r="S2595" s="9">
        <f t="shared" si="306"/>
        <v>42089.636874999997</v>
      </c>
      <c r="T2595" s="9">
        <f t="shared" si="309"/>
        <v>42119.636874999997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304"/>
        <v>1.2500000000000001E-5</v>
      </c>
      <c r="P2596">
        <f t="shared" si="305"/>
        <v>40000.5</v>
      </c>
      <c r="Q2596" t="str">
        <f t="shared" si="307"/>
        <v>food</v>
      </c>
      <c r="R2596" t="str">
        <f t="shared" si="308"/>
        <v>food trucks</v>
      </c>
      <c r="S2596" s="9">
        <f t="shared" si="306"/>
        <v>41828.759583333333</v>
      </c>
      <c r="T2596" s="9">
        <f t="shared" si="309"/>
        <v>41858.759583333333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304"/>
        <v>0.12166666666666667</v>
      </c>
      <c r="P2597">
        <f t="shared" si="305"/>
        <v>8412.5</v>
      </c>
      <c r="Q2597" t="str">
        <f t="shared" si="307"/>
        <v>food</v>
      </c>
      <c r="R2597" t="str">
        <f t="shared" si="308"/>
        <v>food trucks</v>
      </c>
      <c r="S2597" s="9">
        <f t="shared" si="306"/>
        <v>42760.035879629628</v>
      </c>
      <c r="T2597" s="9">
        <f t="shared" si="309"/>
        <v>42790.035879629628</v>
      </c>
    </row>
    <row r="2598" spans="1:20" ht="43.5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304"/>
        <v>0.23588571428571428</v>
      </c>
      <c r="P2598">
        <f t="shared" si="305"/>
        <v>21628</v>
      </c>
      <c r="Q2598" t="str">
        <f t="shared" si="307"/>
        <v>food</v>
      </c>
      <c r="R2598" t="str">
        <f t="shared" si="308"/>
        <v>food trucks</v>
      </c>
      <c r="S2598" s="9">
        <f t="shared" si="306"/>
        <v>41828.45612268518</v>
      </c>
      <c r="T2598" s="9">
        <f t="shared" si="309"/>
        <v>41858.45612268518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304"/>
        <v>5.6666666666666664E-2</v>
      </c>
      <c r="P2599">
        <f t="shared" si="305"/>
        <v>792.5</v>
      </c>
      <c r="Q2599" t="str">
        <f t="shared" si="307"/>
        <v>food</v>
      </c>
      <c r="R2599" t="str">
        <f t="shared" si="308"/>
        <v>food trucks</v>
      </c>
      <c r="S2599" s="9">
        <f t="shared" si="306"/>
        <v>42510.133298611108</v>
      </c>
      <c r="T2599" s="9">
        <f t="shared" si="309"/>
        <v>42540.133298611108</v>
      </c>
    </row>
    <row r="2600" spans="1:20" ht="29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304"/>
        <v>0.39</v>
      </c>
      <c r="P2600">
        <f t="shared" si="305"/>
        <v>2085</v>
      </c>
      <c r="Q2600" t="str">
        <f t="shared" si="307"/>
        <v>food</v>
      </c>
      <c r="R2600" t="str">
        <f t="shared" si="308"/>
        <v>food trucks</v>
      </c>
      <c r="S2600" s="9">
        <f t="shared" si="306"/>
        <v>42240.631956018515</v>
      </c>
      <c r="T2600" s="9">
        <f t="shared" si="309"/>
        <v>42270.631956018515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304"/>
        <v>9.9546510341776348E-3</v>
      </c>
      <c r="P2601">
        <f t="shared" si="305"/>
        <v>4565.5</v>
      </c>
      <c r="Q2601" t="str">
        <f t="shared" si="307"/>
        <v>food</v>
      </c>
      <c r="R2601" t="str">
        <f t="shared" si="308"/>
        <v>food trucks</v>
      </c>
      <c r="S2601" s="9">
        <f t="shared" si="306"/>
        <v>41809.545682870368</v>
      </c>
      <c r="T2601" s="9">
        <f t="shared" si="309"/>
        <v>41854.545682870368</v>
      </c>
    </row>
    <row r="2602" spans="1:20" ht="29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304"/>
        <v>6.9320000000000007E-2</v>
      </c>
      <c r="P2602">
        <f t="shared" si="305"/>
        <v>26733</v>
      </c>
      <c r="Q2602" t="str">
        <f t="shared" si="307"/>
        <v>food</v>
      </c>
      <c r="R2602" t="str">
        <f t="shared" si="308"/>
        <v>food trucks</v>
      </c>
      <c r="S2602" s="9">
        <f t="shared" si="306"/>
        <v>42394.692129629628</v>
      </c>
      <c r="T2602" s="9">
        <f t="shared" si="309"/>
        <v>42454.650462962956</v>
      </c>
    </row>
    <row r="2603" spans="1:20" ht="43.5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304"/>
        <v>6.6139999999999999</v>
      </c>
      <c r="P2603">
        <f t="shared" si="305"/>
        <v>1903.5</v>
      </c>
      <c r="Q2603" t="str">
        <f>IF(N2603="technology/space exploration","technology")</f>
        <v>technology</v>
      </c>
      <c r="R2603" t="str">
        <f>IF(N2603="technology/space exploration","space exploration")</f>
        <v>space exploration</v>
      </c>
      <c r="S2603" s="9">
        <f t="shared" si="306"/>
        <v>41150.693854166668</v>
      </c>
      <c r="T2603" s="9">
        <f t="shared" si="309"/>
        <v>41164.957638888889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304"/>
        <v>3.2609166666666667</v>
      </c>
      <c r="P2604">
        <f t="shared" si="305"/>
        <v>25565.5</v>
      </c>
      <c r="Q2604" t="str">
        <f t="shared" ref="Q2604:Q2662" si="310">IF(N2604="technology/space exploration","technology")</f>
        <v>technology</v>
      </c>
      <c r="R2604" t="str">
        <f t="shared" ref="R2604:R2662" si="311">IF(N2604="technology/space exploration","space exploration")</f>
        <v>space exploration</v>
      </c>
      <c r="S2604" s="9">
        <f t="shared" si="306"/>
        <v>41915.538981481477</v>
      </c>
      <c r="T2604" s="9">
        <f t="shared" si="309"/>
        <v>41955.680555555555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304"/>
        <v>1.0148571428571429</v>
      </c>
      <c r="P2605">
        <f t="shared" si="305"/>
        <v>1763</v>
      </c>
      <c r="Q2605" t="str">
        <f t="shared" si="310"/>
        <v>technology</v>
      </c>
      <c r="R2605" t="str">
        <f t="shared" si="311"/>
        <v>space exploration</v>
      </c>
      <c r="S2605" s="9">
        <f t="shared" si="306"/>
        <v>41617.704328703701</v>
      </c>
      <c r="T2605" s="9">
        <f t="shared" si="309"/>
        <v>41631.704328703701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304"/>
        <v>1.0421799999999999</v>
      </c>
      <c r="P2606">
        <f t="shared" si="305"/>
        <v>20421.8</v>
      </c>
      <c r="Q2606" t="str">
        <f t="shared" si="310"/>
        <v>technology</v>
      </c>
      <c r="R2606" t="str">
        <f t="shared" si="311"/>
        <v>space exploration</v>
      </c>
      <c r="S2606" s="9">
        <f t="shared" si="306"/>
        <v>40997.842858796292</v>
      </c>
      <c r="T2606" s="9">
        <f t="shared" si="309"/>
        <v>41027.842858796292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304"/>
        <v>1.0742157000000001</v>
      </c>
      <c r="P2607">
        <f t="shared" si="305"/>
        <v>103710.785</v>
      </c>
      <c r="Q2607" t="str">
        <f t="shared" si="310"/>
        <v>technology</v>
      </c>
      <c r="R2607" t="str">
        <f t="shared" si="311"/>
        <v>space exploration</v>
      </c>
      <c r="S2607" s="9">
        <f t="shared" si="306"/>
        <v>42508.33321759259</v>
      </c>
      <c r="T2607" s="9">
        <f t="shared" si="309"/>
        <v>42538.33321759259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304"/>
        <v>1.1005454545454545</v>
      </c>
      <c r="P2608">
        <f t="shared" si="305"/>
        <v>11553</v>
      </c>
      <c r="Q2608" t="str">
        <f t="shared" si="310"/>
        <v>technology</v>
      </c>
      <c r="R2608" t="str">
        <f t="shared" si="311"/>
        <v>space exploration</v>
      </c>
      <c r="S2608" s="9">
        <f t="shared" si="306"/>
        <v>41726.504421296289</v>
      </c>
      <c r="T2608" s="9">
        <f t="shared" si="309"/>
        <v>41758.504421296289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304"/>
        <v>4.077</v>
      </c>
      <c r="P2609">
        <f t="shared" si="305"/>
        <v>20308</v>
      </c>
      <c r="Q2609" t="str">
        <f t="shared" si="310"/>
        <v>technology</v>
      </c>
      <c r="R2609" t="str">
        <f t="shared" si="311"/>
        <v>space exploration</v>
      </c>
      <c r="S2609" s="9">
        <f t="shared" si="306"/>
        <v>42184.666342592587</v>
      </c>
      <c r="T2609" s="9">
        <f t="shared" si="309"/>
        <v>42227.874999999993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304"/>
        <v>2.2392500000000002</v>
      </c>
      <c r="P2610">
        <f t="shared" si="305"/>
        <v>12957</v>
      </c>
      <c r="Q2610" t="str">
        <f t="shared" si="310"/>
        <v>technology</v>
      </c>
      <c r="R2610" t="str">
        <f t="shared" si="311"/>
        <v>space exploration</v>
      </c>
      <c r="S2610" s="9">
        <f t="shared" si="306"/>
        <v>42767.593379629623</v>
      </c>
      <c r="T2610" s="9">
        <f t="shared" si="309"/>
        <v>42808.791666666664</v>
      </c>
    </row>
    <row r="2611" spans="1:20" ht="43.5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304"/>
        <v>3.038011142857143</v>
      </c>
      <c r="P2611">
        <f t="shared" si="305"/>
        <v>70665.195000000007</v>
      </c>
      <c r="Q2611" t="str">
        <f t="shared" si="310"/>
        <v>technology</v>
      </c>
      <c r="R2611" t="str">
        <f t="shared" si="311"/>
        <v>space exploration</v>
      </c>
      <c r="S2611" s="9">
        <f t="shared" si="306"/>
        <v>41075.02952546296</v>
      </c>
      <c r="T2611" s="9">
        <f t="shared" si="309"/>
        <v>41105.02952546296</v>
      </c>
    </row>
    <row r="2612" spans="1:20" ht="29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304"/>
        <v>1.4132510432681749</v>
      </c>
      <c r="P2612">
        <f t="shared" si="305"/>
        <v>27468.83</v>
      </c>
      <c r="Q2612" t="str">
        <f t="shared" si="310"/>
        <v>technology</v>
      </c>
      <c r="R2612" t="str">
        <f t="shared" si="311"/>
        <v>space exploration</v>
      </c>
      <c r="S2612" s="9">
        <f t="shared" si="306"/>
        <v>42564.672743055555</v>
      </c>
      <c r="T2612" s="9">
        <f t="shared" si="309"/>
        <v>42604.082638888889</v>
      </c>
    </row>
    <row r="2613" spans="1:20" ht="43.5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304"/>
        <v>27.906363636363636</v>
      </c>
      <c r="P2613">
        <f t="shared" si="305"/>
        <v>158985</v>
      </c>
      <c r="Q2613" t="str">
        <f t="shared" si="310"/>
        <v>technology</v>
      </c>
      <c r="R2613" t="str">
        <f t="shared" si="311"/>
        <v>space exploration</v>
      </c>
      <c r="S2613" s="9">
        <f t="shared" si="306"/>
        <v>42704.127476851849</v>
      </c>
      <c r="T2613" s="9">
        <f t="shared" si="309"/>
        <v>42737.749305555553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304"/>
        <v>1.7176130000000001</v>
      </c>
      <c r="P2614">
        <f t="shared" si="305"/>
        <v>13588.065000000001</v>
      </c>
      <c r="Q2614" t="str">
        <f t="shared" si="310"/>
        <v>technology</v>
      </c>
      <c r="R2614" t="str">
        <f t="shared" si="311"/>
        <v>space exploration</v>
      </c>
      <c r="S2614" s="9">
        <f t="shared" si="306"/>
        <v>41981.934837962959</v>
      </c>
      <c r="T2614" s="9">
        <f t="shared" si="309"/>
        <v>42012.934837962959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304"/>
        <v>1.0101333333333333</v>
      </c>
      <c r="P2615">
        <f t="shared" si="305"/>
        <v>7538</v>
      </c>
      <c r="Q2615" t="str">
        <f t="shared" si="310"/>
        <v>technology</v>
      </c>
      <c r="R2615" t="str">
        <f t="shared" si="311"/>
        <v>space exploration</v>
      </c>
      <c r="S2615" s="9">
        <f t="shared" si="306"/>
        <v>41143.609884259255</v>
      </c>
      <c r="T2615" s="9">
        <f t="shared" si="309"/>
        <v>41173.609884259255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304"/>
        <v>1.02</v>
      </c>
      <c r="P2616">
        <f t="shared" si="305"/>
        <v>10605</v>
      </c>
      <c r="Q2616" t="str">
        <f t="shared" si="310"/>
        <v>technology</v>
      </c>
      <c r="R2616" t="str">
        <f t="shared" si="311"/>
        <v>space exploration</v>
      </c>
      <c r="S2616" s="9">
        <f t="shared" si="306"/>
        <v>41730.500138888885</v>
      </c>
      <c r="T2616" s="9">
        <f t="shared" si="309"/>
        <v>41759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304"/>
        <v>1.6976511744127936</v>
      </c>
      <c r="P2617">
        <f t="shared" si="305"/>
        <v>2699</v>
      </c>
      <c r="Q2617" t="str">
        <f t="shared" si="310"/>
        <v>technology</v>
      </c>
      <c r="R2617" t="str">
        <f t="shared" si="311"/>
        <v>space exploration</v>
      </c>
      <c r="S2617" s="9">
        <f t="shared" si="306"/>
        <v>42453.288935185185</v>
      </c>
      <c r="T2617" s="9">
        <f t="shared" si="309"/>
        <v>42490.291666666664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304"/>
        <v>1.14534</v>
      </c>
      <c r="P2618">
        <f t="shared" si="305"/>
        <v>26816.75</v>
      </c>
      <c r="Q2618" t="str">
        <f t="shared" si="310"/>
        <v>technology</v>
      </c>
      <c r="R2618" t="str">
        <f t="shared" si="311"/>
        <v>space exploration</v>
      </c>
      <c r="S2618" s="9">
        <f t="shared" si="306"/>
        <v>42211.786215277774</v>
      </c>
      <c r="T2618" s="9">
        <f t="shared" si="309"/>
        <v>42241.786215277774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304"/>
        <v>8.7759999999999998</v>
      </c>
      <c r="P2619">
        <f t="shared" si="305"/>
        <v>2444</v>
      </c>
      <c r="Q2619" t="str">
        <f t="shared" si="310"/>
        <v>technology</v>
      </c>
      <c r="R2619" t="str">
        <f t="shared" si="311"/>
        <v>space exploration</v>
      </c>
      <c r="S2619" s="9">
        <f t="shared" si="306"/>
        <v>41902.666099537033</v>
      </c>
      <c r="T2619" s="9">
        <f t="shared" si="309"/>
        <v>41932.666099537033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304"/>
        <v>1.0538666666666667</v>
      </c>
      <c r="P2620">
        <f t="shared" si="305"/>
        <v>15404</v>
      </c>
      <c r="Q2620" t="str">
        <f t="shared" si="310"/>
        <v>technology</v>
      </c>
      <c r="R2620" t="str">
        <f t="shared" si="311"/>
        <v>space exploration</v>
      </c>
      <c r="S2620" s="9">
        <f t="shared" si="306"/>
        <v>42279.584039351852</v>
      </c>
      <c r="T2620" s="9">
        <f t="shared" si="309"/>
        <v>42339.625706018516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304"/>
        <v>1.8839999999999999</v>
      </c>
      <c r="P2621">
        <f t="shared" si="305"/>
        <v>1442</v>
      </c>
      <c r="Q2621" t="str">
        <f t="shared" si="310"/>
        <v>technology</v>
      </c>
      <c r="R2621" t="str">
        <f t="shared" si="311"/>
        <v>space exploration</v>
      </c>
      <c r="S2621" s="9">
        <f t="shared" si="306"/>
        <v>42273.67597222222</v>
      </c>
      <c r="T2621" s="9">
        <f t="shared" si="309"/>
        <v>42300.249999999993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304"/>
        <v>1.436523076923077</v>
      </c>
      <c r="P2622">
        <f t="shared" si="305"/>
        <v>79187</v>
      </c>
      <c r="Q2622" t="str">
        <f t="shared" si="310"/>
        <v>technology</v>
      </c>
      <c r="R2622" t="str">
        <f t="shared" si="311"/>
        <v>space exploration</v>
      </c>
      <c r="S2622" s="9">
        <f t="shared" si="306"/>
        <v>42250.958819444444</v>
      </c>
      <c r="T2622" s="9">
        <f t="shared" si="309"/>
        <v>42287.833333333336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304"/>
        <v>1.4588000000000001</v>
      </c>
      <c r="P2623">
        <f t="shared" si="305"/>
        <v>18441</v>
      </c>
      <c r="Q2623" t="str">
        <f t="shared" si="310"/>
        <v>technology</v>
      </c>
      <c r="R2623" t="str">
        <f t="shared" si="311"/>
        <v>space exploration</v>
      </c>
      <c r="S2623" s="9">
        <f t="shared" si="306"/>
        <v>42115.539212962962</v>
      </c>
      <c r="T2623" s="9">
        <f t="shared" si="309"/>
        <v>42145.539212962962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304"/>
        <v>1.3118399999999999</v>
      </c>
      <c r="P2624">
        <f t="shared" si="305"/>
        <v>1733.88</v>
      </c>
      <c r="Q2624" t="str">
        <f t="shared" si="310"/>
        <v>technology</v>
      </c>
      <c r="R2624" t="str">
        <f t="shared" si="311"/>
        <v>space exploration</v>
      </c>
      <c r="S2624" s="9">
        <f t="shared" si="306"/>
        <v>42689.534907407404</v>
      </c>
      <c r="T2624" s="9">
        <f t="shared" si="309"/>
        <v>42734.534907407404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304"/>
        <v>1.1399999999999999</v>
      </c>
      <c r="P2625">
        <f t="shared" si="305"/>
        <v>2140</v>
      </c>
      <c r="Q2625" t="str">
        <f t="shared" si="310"/>
        <v>technology</v>
      </c>
      <c r="R2625" t="str">
        <f t="shared" si="311"/>
        <v>space exploration</v>
      </c>
      <c r="S2625" s="9">
        <f t="shared" si="306"/>
        <v>42692.048217592594</v>
      </c>
      <c r="T2625" s="9">
        <f t="shared" si="309"/>
        <v>42706.048217592594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304"/>
        <v>13.794206249999998</v>
      </c>
      <c r="P2626">
        <f t="shared" si="305"/>
        <v>59176.824999999997</v>
      </c>
      <c r="Q2626" t="str">
        <f t="shared" si="310"/>
        <v>technology</v>
      </c>
      <c r="R2626" t="str">
        <f t="shared" si="311"/>
        <v>space exploration</v>
      </c>
      <c r="S2626" s="9">
        <f t="shared" si="306"/>
        <v>41144.213217592587</v>
      </c>
      <c r="T2626" s="9">
        <f t="shared" si="309"/>
        <v>41165.213217592587</v>
      </c>
    </row>
    <row r="2627" spans="1:20" ht="43.5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312">E2627/D2627</f>
        <v>9.56</v>
      </c>
      <c r="P2627">
        <f t="shared" ref="P2627:P2690" si="313">AVERAGE(D2627:E2627)</f>
        <v>792</v>
      </c>
      <c r="Q2627" t="str">
        <f t="shared" si="310"/>
        <v>technology</v>
      </c>
      <c r="R2627" t="str">
        <f t="shared" si="311"/>
        <v>space exploration</v>
      </c>
      <c r="S2627" s="9">
        <f t="shared" ref="S2627:S2690" si="314">J2627/86400+25569+(-5/24)</f>
        <v>42658.601944444446</v>
      </c>
      <c r="T2627" s="9">
        <f t="shared" si="309"/>
        <v>42683.643611111103</v>
      </c>
    </row>
    <row r="2628" spans="1:20" ht="29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312"/>
        <v>1.1200000000000001</v>
      </c>
      <c r="P2628">
        <f t="shared" si="313"/>
        <v>2650</v>
      </c>
      <c r="Q2628" t="str">
        <f t="shared" si="310"/>
        <v>technology</v>
      </c>
      <c r="R2628" t="str">
        <f t="shared" si="311"/>
        <v>space exploration</v>
      </c>
      <c r="S2628" s="9">
        <f t="shared" si="314"/>
        <v>42128.41978009259</v>
      </c>
      <c r="T2628" s="9">
        <f t="shared" ref="T2628:T2691" si="315">I2628/86400+25569+(-5/24)</f>
        <v>42158.41978009259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312"/>
        <v>6.4666666666666668</v>
      </c>
      <c r="P2629">
        <f t="shared" si="313"/>
        <v>560</v>
      </c>
      <c r="Q2629" t="str">
        <f t="shared" si="310"/>
        <v>technology</v>
      </c>
      <c r="R2629" t="str">
        <f t="shared" si="311"/>
        <v>space exploration</v>
      </c>
      <c r="S2629" s="9">
        <f t="shared" si="314"/>
        <v>42304.621076388888</v>
      </c>
      <c r="T2629" s="9">
        <f t="shared" si="315"/>
        <v>42334.662743055553</v>
      </c>
    </row>
    <row r="2630" spans="1:20" ht="29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312"/>
        <v>1.1036948748510131</v>
      </c>
      <c r="P2630">
        <f t="shared" si="313"/>
        <v>882.5</v>
      </c>
      <c r="Q2630" t="str">
        <f t="shared" si="310"/>
        <v>technology</v>
      </c>
      <c r="R2630" t="str">
        <f t="shared" si="311"/>
        <v>space exploration</v>
      </c>
      <c r="S2630" s="9">
        <f t="shared" si="314"/>
        <v>41953.757719907408</v>
      </c>
      <c r="T2630" s="9">
        <f t="shared" si="315"/>
        <v>41973.757719907408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312"/>
        <v>1.2774000000000001</v>
      </c>
      <c r="P2631">
        <f t="shared" si="313"/>
        <v>5693.5</v>
      </c>
      <c r="Q2631" t="str">
        <f t="shared" si="310"/>
        <v>technology</v>
      </c>
      <c r="R2631" t="str">
        <f t="shared" si="311"/>
        <v>space exploration</v>
      </c>
      <c r="S2631" s="9">
        <f t="shared" si="314"/>
        <v>42108.330115740733</v>
      </c>
      <c r="T2631" s="9">
        <f t="shared" si="315"/>
        <v>42138.330115740733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312"/>
        <v>1.579</v>
      </c>
      <c r="P2632">
        <f t="shared" si="313"/>
        <v>2579</v>
      </c>
      <c r="Q2632" t="str">
        <f t="shared" si="310"/>
        <v>technology</v>
      </c>
      <c r="R2632" t="str">
        <f t="shared" si="311"/>
        <v>space exploration</v>
      </c>
      <c r="S2632" s="9">
        <f t="shared" si="314"/>
        <v>42523.897129629629</v>
      </c>
      <c r="T2632" s="9">
        <f t="shared" si="315"/>
        <v>42551.208333333336</v>
      </c>
    </row>
    <row r="2633" spans="1:20" ht="29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312"/>
        <v>1.1466525000000001</v>
      </c>
      <c r="P2633">
        <f t="shared" si="313"/>
        <v>21466.525000000001</v>
      </c>
      <c r="Q2633" t="str">
        <f t="shared" si="310"/>
        <v>technology</v>
      </c>
      <c r="R2633" t="str">
        <f t="shared" si="311"/>
        <v>space exploration</v>
      </c>
      <c r="S2633" s="9">
        <f t="shared" si="314"/>
        <v>42217.960960648146</v>
      </c>
      <c r="T2633" s="9">
        <f t="shared" si="315"/>
        <v>42245.960960648146</v>
      </c>
    </row>
    <row r="2634" spans="1:20" ht="29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312"/>
        <v>1.3700934579439252</v>
      </c>
      <c r="P2634">
        <f t="shared" si="313"/>
        <v>1268</v>
      </c>
      <c r="Q2634" t="str">
        <f t="shared" si="310"/>
        <v>technology</v>
      </c>
      <c r="R2634" t="str">
        <f t="shared" si="311"/>
        <v>space exploration</v>
      </c>
      <c r="S2634" s="9">
        <f t="shared" si="314"/>
        <v>42493.853460648148</v>
      </c>
      <c r="T2634" s="9">
        <f t="shared" si="315"/>
        <v>42518.853460648148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312"/>
        <v>3.5461999999999998</v>
      </c>
      <c r="P2635">
        <f t="shared" si="313"/>
        <v>11365.5</v>
      </c>
      <c r="Q2635" t="str">
        <f t="shared" si="310"/>
        <v>technology</v>
      </c>
      <c r="R2635" t="str">
        <f t="shared" si="311"/>
        <v>space exploration</v>
      </c>
      <c r="S2635" s="9">
        <f t="shared" si="314"/>
        <v>41667.614953703705</v>
      </c>
      <c r="T2635" s="9">
        <f t="shared" si="315"/>
        <v>41697.75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312"/>
        <v>1.0602150537634409</v>
      </c>
      <c r="P2636">
        <f t="shared" si="313"/>
        <v>958</v>
      </c>
      <c r="Q2636" t="str">
        <f t="shared" si="310"/>
        <v>technology</v>
      </c>
      <c r="R2636" t="str">
        <f t="shared" si="311"/>
        <v>space exploration</v>
      </c>
      <c r="S2636" s="9">
        <f t="shared" si="314"/>
        <v>42612.448159722218</v>
      </c>
      <c r="T2636" s="9">
        <f t="shared" si="315"/>
        <v>42642.448159722218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312"/>
        <v>1</v>
      </c>
      <c r="P2637">
        <f t="shared" si="313"/>
        <v>11500</v>
      </c>
      <c r="Q2637" t="str">
        <f t="shared" si="310"/>
        <v>technology</v>
      </c>
      <c r="R2637" t="str">
        <f t="shared" si="311"/>
        <v>space exploration</v>
      </c>
      <c r="S2637" s="9">
        <f t="shared" si="314"/>
        <v>42037.742604166669</v>
      </c>
      <c r="T2637" s="9">
        <f t="shared" si="315"/>
        <v>42072.700937499998</v>
      </c>
    </row>
    <row r="2638" spans="1:20" ht="43.5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312"/>
        <v>1.873</v>
      </c>
      <c r="P2638">
        <f t="shared" si="313"/>
        <v>1436.5</v>
      </c>
      <c r="Q2638" t="str">
        <f t="shared" si="310"/>
        <v>technology</v>
      </c>
      <c r="R2638" t="str">
        <f t="shared" si="311"/>
        <v>space exploration</v>
      </c>
      <c r="S2638" s="9">
        <f t="shared" si="314"/>
        <v>42636.406412037039</v>
      </c>
      <c r="T2638" s="9">
        <f t="shared" si="315"/>
        <v>42658.833333333336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312"/>
        <v>1.6619999999999999</v>
      </c>
      <c r="P2639">
        <f t="shared" si="313"/>
        <v>665.5</v>
      </c>
      <c r="Q2639" t="str">
        <f t="shared" si="310"/>
        <v>technology</v>
      </c>
      <c r="R2639" t="str">
        <f t="shared" si="311"/>
        <v>space exploration</v>
      </c>
      <c r="S2639" s="9">
        <f t="shared" si="314"/>
        <v>42639.341145833336</v>
      </c>
      <c r="T2639" s="9">
        <f t="shared" si="315"/>
        <v>42655.341145833336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312"/>
        <v>1.0172910662824208</v>
      </c>
      <c r="P2640">
        <f t="shared" si="313"/>
        <v>350</v>
      </c>
      <c r="Q2640" t="str">
        <f t="shared" si="310"/>
        <v>technology</v>
      </c>
      <c r="R2640" t="str">
        <f t="shared" si="311"/>
        <v>space exploration</v>
      </c>
      <c r="S2640" s="9">
        <f t="shared" si="314"/>
        <v>41989.70480324074</v>
      </c>
      <c r="T2640" s="9">
        <f t="shared" si="315"/>
        <v>42019.70480324074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312"/>
        <v>1.64</v>
      </c>
      <c r="P2641">
        <f t="shared" si="313"/>
        <v>396</v>
      </c>
      <c r="Q2641" t="str">
        <f t="shared" si="310"/>
        <v>technology</v>
      </c>
      <c r="R2641" t="str">
        <f t="shared" si="311"/>
        <v>space exploration</v>
      </c>
      <c r="S2641" s="9">
        <f t="shared" si="314"/>
        <v>42024.656805555554</v>
      </c>
      <c r="T2641" s="9">
        <f t="shared" si="315"/>
        <v>42054.656805555554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312"/>
        <v>1.0566666666666666</v>
      </c>
      <c r="P2642">
        <f t="shared" si="313"/>
        <v>3085</v>
      </c>
      <c r="Q2642" t="str">
        <f t="shared" si="310"/>
        <v>technology</v>
      </c>
      <c r="R2642" t="str">
        <f t="shared" si="311"/>
        <v>space exploration</v>
      </c>
      <c r="S2642" s="9">
        <f t="shared" si="314"/>
        <v>42102.952245370368</v>
      </c>
      <c r="T2642" s="9">
        <f t="shared" si="315"/>
        <v>42162.952245370368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312"/>
        <v>0.01</v>
      </c>
      <c r="P2643">
        <f t="shared" si="313"/>
        <v>757.5</v>
      </c>
      <c r="Q2643" t="str">
        <f t="shared" si="310"/>
        <v>technology</v>
      </c>
      <c r="R2643" t="str">
        <f t="shared" si="311"/>
        <v>space exploration</v>
      </c>
      <c r="S2643" s="9">
        <f t="shared" si="314"/>
        <v>41880.618784722217</v>
      </c>
      <c r="T2643" s="9">
        <f t="shared" si="315"/>
        <v>41897.631249999999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312"/>
        <v>0</v>
      </c>
      <c r="P2644">
        <f t="shared" si="313"/>
        <v>250000</v>
      </c>
      <c r="Q2644" t="str">
        <f t="shared" si="310"/>
        <v>technology</v>
      </c>
      <c r="R2644" t="str">
        <f t="shared" si="311"/>
        <v>space exploration</v>
      </c>
      <c r="S2644" s="9">
        <f t="shared" si="314"/>
        <v>42536.03828703703</v>
      </c>
      <c r="T2644" s="9">
        <f t="shared" si="315"/>
        <v>42566.081249999996</v>
      </c>
    </row>
    <row r="2645" spans="1:20" ht="43.5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312"/>
        <v>0.33559730999999998</v>
      </c>
      <c r="P2645">
        <f t="shared" si="313"/>
        <v>667798.65500000003</v>
      </c>
      <c r="Q2645" t="str">
        <f t="shared" si="310"/>
        <v>technology</v>
      </c>
      <c r="R2645" t="str">
        <f t="shared" si="311"/>
        <v>space exploration</v>
      </c>
      <c r="S2645" s="9">
        <f t="shared" si="314"/>
        <v>42689.374016203707</v>
      </c>
      <c r="T2645" s="9">
        <f t="shared" si="315"/>
        <v>42725.124305555553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312"/>
        <v>2.053E-2</v>
      </c>
      <c r="P2646">
        <f t="shared" si="313"/>
        <v>51026.5</v>
      </c>
      <c r="Q2646" t="str">
        <f t="shared" si="310"/>
        <v>technology</v>
      </c>
      <c r="R2646" t="str">
        <f t="shared" si="311"/>
        <v>space exploration</v>
      </c>
      <c r="S2646" s="9">
        <f t="shared" si="314"/>
        <v>42774.583738425928</v>
      </c>
      <c r="T2646" s="9">
        <f t="shared" si="315"/>
        <v>42804.583738425928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312"/>
        <v>0.105</v>
      </c>
      <c r="P2647">
        <f t="shared" si="313"/>
        <v>11050</v>
      </c>
      <c r="Q2647" t="str">
        <f t="shared" si="310"/>
        <v>technology</v>
      </c>
      <c r="R2647" t="str">
        <f t="shared" si="311"/>
        <v>space exploration</v>
      </c>
      <c r="S2647" s="9">
        <f t="shared" si="314"/>
        <v>41921.634293981479</v>
      </c>
      <c r="T2647" s="9">
        <f t="shared" si="315"/>
        <v>41951.675960648143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312"/>
        <v>8.4172839999999999E-2</v>
      </c>
      <c r="P2648">
        <f t="shared" si="313"/>
        <v>271043.21000000002</v>
      </c>
      <c r="Q2648" t="str">
        <f t="shared" si="310"/>
        <v>technology</v>
      </c>
      <c r="R2648" t="str">
        <f t="shared" si="311"/>
        <v>space exploration</v>
      </c>
      <c r="S2648" s="9">
        <f t="shared" si="314"/>
        <v>42226.10496527778</v>
      </c>
      <c r="T2648" s="9">
        <f t="shared" si="315"/>
        <v>42256.10496527778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312"/>
        <v>1.44E-2</v>
      </c>
      <c r="P2649">
        <f t="shared" si="313"/>
        <v>1268</v>
      </c>
      <c r="Q2649" t="str">
        <f t="shared" si="310"/>
        <v>technology</v>
      </c>
      <c r="R2649" t="str">
        <f t="shared" si="311"/>
        <v>space exploration</v>
      </c>
      <c r="S2649" s="9">
        <f t="shared" si="314"/>
        <v>42200.053460648145</v>
      </c>
      <c r="T2649" s="9">
        <f t="shared" si="315"/>
        <v>42230.053460648145</v>
      </c>
    </row>
    <row r="2650" spans="1:20" ht="43.5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312"/>
        <v>8.8333333333333337E-3</v>
      </c>
      <c r="P2650">
        <f t="shared" si="313"/>
        <v>6053</v>
      </c>
      <c r="Q2650" t="str">
        <f t="shared" si="310"/>
        <v>technology</v>
      </c>
      <c r="R2650" t="str">
        <f t="shared" si="311"/>
        <v>space exploration</v>
      </c>
      <c r="S2650" s="9">
        <f t="shared" si="314"/>
        <v>42408.506481481476</v>
      </c>
      <c r="T2650" s="9">
        <f t="shared" si="315"/>
        <v>42438.506481481476</v>
      </c>
    </row>
    <row r="2651" spans="1:20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312"/>
        <v>9.9200000000000004E-4</v>
      </c>
      <c r="P2651">
        <f t="shared" si="313"/>
        <v>62562</v>
      </c>
      <c r="Q2651" t="str">
        <f t="shared" si="310"/>
        <v>technology</v>
      </c>
      <c r="R2651" t="str">
        <f t="shared" si="311"/>
        <v>space exploration</v>
      </c>
      <c r="S2651" s="9">
        <f t="shared" si="314"/>
        <v>42341.788668981484</v>
      </c>
      <c r="T2651" s="9">
        <f t="shared" si="315"/>
        <v>42401.788668981484</v>
      </c>
    </row>
    <row r="2652" spans="1:20" ht="43.5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312"/>
        <v>5.966666666666667E-3</v>
      </c>
      <c r="P2652">
        <f t="shared" si="313"/>
        <v>30179</v>
      </c>
      <c r="Q2652" t="str">
        <f t="shared" si="310"/>
        <v>technology</v>
      </c>
      <c r="R2652" t="str">
        <f t="shared" si="311"/>
        <v>space exploration</v>
      </c>
      <c r="S2652" s="9">
        <f t="shared" si="314"/>
        <v>42695.416006944441</v>
      </c>
      <c r="T2652" s="9">
        <f t="shared" si="315"/>
        <v>42725.416006944441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312"/>
        <v>1.8689285714285714E-2</v>
      </c>
      <c r="P2653">
        <f t="shared" si="313"/>
        <v>142616.5</v>
      </c>
      <c r="Q2653" t="str">
        <f t="shared" si="310"/>
        <v>technology</v>
      </c>
      <c r="R2653" t="str">
        <f t="shared" si="311"/>
        <v>space exploration</v>
      </c>
      <c r="S2653" s="9">
        <f t="shared" si="314"/>
        <v>42327.597326388888</v>
      </c>
      <c r="T2653" s="9">
        <f t="shared" si="315"/>
        <v>42355.597326388888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312"/>
        <v>8.8500000000000002E-3</v>
      </c>
      <c r="P2654">
        <f t="shared" si="313"/>
        <v>50442.5</v>
      </c>
      <c r="Q2654" t="str">
        <f t="shared" si="310"/>
        <v>technology</v>
      </c>
      <c r="R2654" t="str">
        <f t="shared" si="311"/>
        <v>space exploration</v>
      </c>
      <c r="S2654" s="9">
        <f t="shared" si="314"/>
        <v>41952.950520833336</v>
      </c>
      <c r="T2654" s="9">
        <f t="shared" si="315"/>
        <v>41982.950520833336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312"/>
        <v>0.1152156862745098</v>
      </c>
      <c r="P2655">
        <f t="shared" si="313"/>
        <v>28438</v>
      </c>
      <c r="Q2655" t="str">
        <f t="shared" si="310"/>
        <v>technology</v>
      </c>
      <c r="R2655" t="str">
        <f t="shared" si="311"/>
        <v>space exploration</v>
      </c>
      <c r="S2655" s="9">
        <f t="shared" si="314"/>
        <v>41771.443599537037</v>
      </c>
      <c r="T2655" s="9">
        <f t="shared" si="315"/>
        <v>41802.958333333328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312"/>
        <v>5.1000000000000004E-4</v>
      </c>
      <c r="P2656">
        <f t="shared" si="313"/>
        <v>50025.5</v>
      </c>
      <c r="Q2656" t="str">
        <f t="shared" si="310"/>
        <v>technology</v>
      </c>
      <c r="R2656" t="str">
        <f t="shared" si="311"/>
        <v>space exploration</v>
      </c>
      <c r="S2656" s="9">
        <f t="shared" si="314"/>
        <v>42055.392662037033</v>
      </c>
      <c r="T2656" s="9">
        <f t="shared" si="315"/>
        <v>42115.350995370369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312"/>
        <v>0.21033333333333334</v>
      </c>
      <c r="P2657">
        <f t="shared" si="313"/>
        <v>9077.5</v>
      </c>
      <c r="Q2657" t="str">
        <f t="shared" si="310"/>
        <v>technology</v>
      </c>
      <c r="R2657" t="str">
        <f t="shared" si="311"/>
        <v>space exploration</v>
      </c>
      <c r="S2657" s="9">
        <f t="shared" si="314"/>
        <v>42381.657951388886</v>
      </c>
      <c r="T2657" s="9">
        <f t="shared" si="315"/>
        <v>42409.624999999993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312"/>
        <v>0.11436666666666667</v>
      </c>
      <c r="P2658">
        <f t="shared" si="313"/>
        <v>83577.5</v>
      </c>
      <c r="Q2658" t="str">
        <f t="shared" si="310"/>
        <v>technology</v>
      </c>
      <c r="R2658" t="str">
        <f t="shared" si="311"/>
        <v>space exploration</v>
      </c>
      <c r="S2658" s="9">
        <f t="shared" si="314"/>
        <v>42767.480185185188</v>
      </c>
      <c r="T2658" s="9">
        <f t="shared" si="315"/>
        <v>42806.583333333336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312"/>
        <v>0.18737933333333334</v>
      </c>
      <c r="P2659">
        <f t="shared" si="313"/>
        <v>17810.689999999999</v>
      </c>
      <c r="Q2659" t="str">
        <f t="shared" si="310"/>
        <v>technology</v>
      </c>
      <c r="R2659" t="str">
        <f t="shared" si="311"/>
        <v>space exploration</v>
      </c>
      <c r="S2659" s="9">
        <f t="shared" si="314"/>
        <v>42551.720520833333</v>
      </c>
      <c r="T2659" s="9">
        <f t="shared" si="315"/>
        <v>42584.854166666664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312"/>
        <v>9.2857142857142856E-4</v>
      </c>
      <c r="P2660">
        <f t="shared" si="313"/>
        <v>49045.5</v>
      </c>
      <c r="Q2660" t="str">
        <f t="shared" si="310"/>
        <v>technology</v>
      </c>
      <c r="R2660" t="str">
        <f t="shared" si="311"/>
        <v>space exploration</v>
      </c>
      <c r="S2660" s="9">
        <f t="shared" si="314"/>
        <v>42551.675856481474</v>
      </c>
      <c r="T2660" s="9">
        <f t="shared" si="315"/>
        <v>42581.675856481474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312"/>
        <v>2.720408163265306E-2</v>
      </c>
      <c r="P2661">
        <f t="shared" si="313"/>
        <v>25166.5</v>
      </c>
      <c r="Q2661" t="str">
        <f t="shared" si="310"/>
        <v>technology</v>
      </c>
      <c r="R2661" t="str">
        <f t="shared" si="311"/>
        <v>space exploration</v>
      </c>
      <c r="S2661" s="9">
        <f t="shared" si="314"/>
        <v>42081.861226851848</v>
      </c>
      <c r="T2661" s="9">
        <f t="shared" si="315"/>
        <v>42111.861226851848</v>
      </c>
    </row>
    <row r="2662" spans="1:20" ht="43.5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312"/>
        <v>9.5E-4</v>
      </c>
      <c r="P2662">
        <f t="shared" si="313"/>
        <v>10009.5</v>
      </c>
      <c r="Q2662" t="str">
        <f t="shared" si="310"/>
        <v>technology</v>
      </c>
      <c r="R2662" t="str">
        <f t="shared" si="311"/>
        <v>space exploration</v>
      </c>
      <c r="S2662" s="9">
        <f t="shared" si="314"/>
        <v>42272.504837962959</v>
      </c>
      <c r="T2662" s="9">
        <f t="shared" si="315"/>
        <v>42332.546504629623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312"/>
        <v>1.0289999999999999</v>
      </c>
      <c r="P2663">
        <f t="shared" si="313"/>
        <v>5072.5</v>
      </c>
      <c r="Q2663" t="str">
        <f>IF(N2663="technology/makerspaces","technology")</f>
        <v>technology</v>
      </c>
      <c r="R2663" t="str">
        <f>IF(N2663="technology/makerspaces","makerspaces")</f>
        <v>makerspaces</v>
      </c>
      <c r="S2663" s="9">
        <f t="shared" si="314"/>
        <v>41542.750115740739</v>
      </c>
      <c r="T2663" s="9">
        <f t="shared" si="315"/>
        <v>41572.750115740739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312"/>
        <v>1.0680000000000001</v>
      </c>
      <c r="P2664">
        <f t="shared" si="313"/>
        <v>20680</v>
      </c>
      <c r="Q2664" t="str">
        <f t="shared" ref="Q2664:Q2682" si="316">IF(N2664="technology/makerspaces","technology")</f>
        <v>technology</v>
      </c>
      <c r="R2664" t="str">
        <f t="shared" ref="R2664:R2682" si="317">IF(N2664="technology/makerspaces","makerspaces")</f>
        <v>makerspaces</v>
      </c>
      <c r="S2664" s="9">
        <f t="shared" si="314"/>
        <v>42207.538344907407</v>
      </c>
      <c r="T2664" s="9">
        <f t="shared" si="315"/>
        <v>42237.538344907407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312"/>
        <v>1.0459624999999999</v>
      </c>
      <c r="P2665">
        <f t="shared" si="313"/>
        <v>20459.625</v>
      </c>
      <c r="Q2665" t="str">
        <f t="shared" si="316"/>
        <v>technology</v>
      </c>
      <c r="R2665" t="str">
        <f t="shared" si="317"/>
        <v>makerspaces</v>
      </c>
      <c r="S2665" s="9">
        <f t="shared" si="314"/>
        <v>42222.41443287037</v>
      </c>
      <c r="T2665" s="9">
        <f t="shared" si="315"/>
        <v>42251.416666666664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312"/>
        <v>1.0342857142857143</v>
      </c>
      <c r="P2666">
        <f t="shared" si="313"/>
        <v>17800</v>
      </c>
      <c r="Q2666" t="str">
        <f t="shared" si="316"/>
        <v>technology</v>
      </c>
      <c r="R2666" t="str">
        <f t="shared" si="317"/>
        <v>makerspaces</v>
      </c>
      <c r="S2666" s="9">
        <f t="shared" si="314"/>
        <v>42312.817094907405</v>
      </c>
      <c r="T2666" s="9">
        <f t="shared" si="315"/>
        <v>42347.082638888889</v>
      </c>
    </row>
    <row r="2667" spans="1:20" ht="43.5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312"/>
        <v>1.2314285714285715</v>
      </c>
      <c r="P2667">
        <f t="shared" si="313"/>
        <v>3905</v>
      </c>
      <c r="Q2667" t="str">
        <f t="shared" si="316"/>
        <v>technology</v>
      </c>
      <c r="R2667" t="str">
        <f t="shared" si="317"/>
        <v>makerspaces</v>
      </c>
      <c r="S2667" s="9">
        <f t="shared" si="314"/>
        <v>42083.687199074069</v>
      </c>
      <c r="T2667" s="9">
        <f t="shared" si="315"/>
        <v>42128.687199074069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312"/>
        <v>1.592951</v>
      </c>
      <c r="P2668">
        <f t="shared" si="313"/>
        <v>12964.755000000001</v>
      </c>
      <c r="Q2668" t="str">
        <f t="shared" si="316"/>
        <v>technology</v>
      </c>
      <c r="R2668" t="str">
        <f t="shared" si="317"/>
        <v>makerspaces</v>
      </c>
      <c r="S2668" s="9">
        <f t="shared" si="314"/>
        <v>42235.55600694444</v>
      </c>
      <c r="T2668" s="9">
        <f t="shared" si="315"/>
        <v>42272.666666666664</v>
      </c>
    </row>
    <row r="2669" spans="1:20" ht="43.5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312"/>
        <v>1.1066666666666667</v>
      </c>
      <c r="P2669">
        <f t="shared" si="313"/>
        <v>1580</v>
      </c>
      <c r="Q2669" t="str">
        <f t="shared" si="316"/>
        <v>technology</v>
      </c>
      <c r="R2669" t="str">
        <f t="shared" si="317"/>
        <v>makerspaces</v>
      </c>
      <c r="S2669" s="9">
        <f t="shared" si="314"/>
        <v>42380.717777777776</v>
      </c>
      <c r="T2669" s="9">
        <f t="shared" si="315"/>
        <v>42410.717777777776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312"/>
        <v>1.7070000000000001</v>
      </c>
      <c r="P2670">
        <f t="shared" si="313"/>
        <v>1353.5</v>
      </c>
      <c r="Q2670" t="str">
        <f t="shared" si="316"/>
        <v>technology</v>
      </c>
      <c r="R2670" t="str">
        <f t="shared" si="317"/>
        <v>makerspaces</v>
      </c>
      <c r="S2670" s="9">
        <f t="shared" si="314"/>
        <v>42275.380381944444</v>
      </c>
      <c r="T2670" s="9">
        <f t="shared" si="315"/>
        <v>42317.397222222215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312"/>
        <v>1.25125</v>
      </c>
      <c r="P2671">
        <f t="shared" si="313"/>
        <v>900.5</v>
      </c>
      <c r="Q2671" t="str">
        <f t="shared" si="316"/>
        <v>technology</v>
      </c>
      <c r="R2671" t="str">
        <f t="shared" si="317"/>
        <v>makerspaces</v>
      </c>
      <c r="S2671" s="9">
        <f t="shared" si="314"/>
        <v>42318.827499999992</v>
      </c>
      <c r="T2671" s="9">
        <f t="shared" si="315"/>
        <v>42378.827499999992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312"/>
        <v>6.4158609339642042E-2</v>
      </c>
      <c r="P2672">
        <f t="shared" si="313"/>
        <v>20691.5</v>
      </c>
      <c r="Q2672" t="str">
        <f t="shared" si="316"/>
        <v>technology</v>
      </c>
      <c r="R2672" t="str">
        <f t="shared" si="317"/>
        <v>makerspaces</v>
      </c>
      <c r="S2672" s="9">
        <f t="shared" si="314"/>
        <v>41820.812268518515</v>
      </c>
      <c r="T2672" s="9">
        <f t="shared" si="315"/>
        <v>41848.812268518515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312"/>
        <v>0.11344</v>
      </c>
      <c r="P2673">
        <f t="shared" si="313"/>
        <v>13918</v>
      </c>
      <c r="Q2673" t="str">
        <f t="shared" si="316"/>
        <v>technology</v>
      </c>
      <c r="R2673" t="str">
        <f t="shared" si="317"/>
        <v>makerspaces</v>
      </c>
      <c r="S2673" s="9">
        <f t="shared" si="314"/>
        <v>41962.54069444444</v>
      </c>
      <c r="T2673" s="9">
        <f t="shared" si="315"/>
        <v>41992.609722222223</v>
      </c>
    </row>
    <row r="2674" spans="1:20" ht="43.5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312"/>
        <v>0.33189999999999997</v>
      </c>
      <c r="P2674">
        <f t="shared" si="313"/>
        <v>6659.5</v>
      </c>
      <c r="Q2674" t="str">
        <f t="shared" si="316"/>
        <v>technology</v>
      </c>
      <c r="R2674" t="str">
        <f t="shared" si="317"/>
        <v>makerspaces</v>
      </c>
      <c r="S2674" s="9">
        <f t="shared" si="314"/>
        <v>42344.675810185181</v>
      </c>
      <c r="T2674" s="9">
        <f t="shared" si="315"/>
        <v>42366.041666666664</v>
      </c>
    </row>
    <row r="2675" spans="1:20" ht="43.5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312"/>
        <v>0.27579999999999999</v>
      </c>
      <c r="P2675">
        <f t="shared" si="313"/>
        <v>25516</v>
      </c>
      <c r="Q2675" t="str">
        <f t="shared" si="316"/>
        <v>technology</v>
      </c>
      <c r="R2675" t="str">
        <f t="shared" si="317"/>
        <v>makerspaces</v>
      </c>
      <c r="S2675" s="9">
        <f t="shared" si="314"/>
        <v>41912.333321759259</v>
      </c>
      <c r="T2675" s="9">
        <f t="shared" si="315"/>
        <v>41941.739583333328</v>
      </c>
    </row>
    <row r="2676" spans="1:20" ht="43.5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312"/>
        <v>0.62839999999999996</v>
      </c>
      <c r="P2676">
        <f t="shared" si="313"/>
        <v>28497</v>
      </c>
      <c r="Q2676" t="str">
        <f t="shared" si="316"/>
        <v>technology</v>
      </c>
      <c r="R2676" t="str">
        <f t="shared" si="317"/>
        <v>makerspaces</v>
      </c>
      <c r="S2676" s="9">
        <f t="shared" si="314"/>
        <v>42529.424421296295</v>
      </c>
      <c r="T2676" s="9">
        <f t="shared" si="315"/>
        <v>42555.999305555553</v>
      </c>
    </row>
    <row r="2677" spans="1:20" ht="43.5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312"/>
        <v>7.5880000000000003E-2</v>
      </c>
      <c r="P2677">
        <f t="shared" si="313"/>
        <v>13448.5</v>
      </c>
      <c r="Q2677" t="str">
        <f t="shared" si="316"/>
        <v>technology</v>
      </c>
      <c r="R2677" t="str">
        <f t="shared" si="317"/>
        <v>makerspaces</v>
      </c>
      <c r="S2677" s="9">
        <f t="shared" si="314"/>
        <v>41923.649178240739</v>
      </c>
      <c r="T2677" s="9">
        <f t="shared" si="315"/>
        <v>41953.690844907404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312"/>
        <v>0.50380952380952382</v>
      </c>
      <c r="P2678">
        <f t="shared" si="313"/>
        <v>1579</v>
      </c>
      <c r="Q2678" t="str">
        <f t="shared" si="316"/>
        <v>technology</v>
      </c>
      <c r="R2678" t="str">
        <f t="shared" si="317"/>
        <v>makerspaces</v>
      </c>
      <c r="S2678" s="9">
        <f t="shared" si="314"/>
        <v>42482.416365740741</v>
      </c>
      <c r="T2678" s="9">
        <f t="shared" si="315"/>
        <v>42512.416365740741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312"/>
        <v>0.17512820512820512</v>
      </c>
      <c r="P2679">
        <f t="shared" si="313"/>
        <v>11457.5</v>
      </c>
      <c r="Q2679" t="str">
        <f t="shared" si="316"/>
        <v>technology</v>
      </c>
      <c r="R2679" t="str">
        <f t="shared" si="317"/>
        <v>makerspaces</v>
      </c>
      <c r="S2679" s="9">
        <f t="shared" si="314"/>
        <v>41792.821099537039</v>
      </c>
      <c r="T2679" s="9">
        <f t="shared" si="315"/>
        <v>41822.821099537039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312"/>
        <v>1.3750000000000001E-4</v>
      </c>
      <c r="P2680">
        <f t="shared" si="313"/>
        <v>4000550</v>
      </c>
      <c r="Q2680" t="str">
        <f t="shared" si="316"/>
        <v>technology</v>
      </c>
      <c r="R2680" t="str">
        <f t="shared" si="317"/>
        <v>makerspaces</v>
      </c>
      <c r="S2680" s="9">
        <f t="shared" si="314"/>
        <v>42241.589872685181</v>
      </c>
      <c r="T2680" s="9">
        <f t="shared" si="315"/>
        <v>42271.589872685181</v>
      </c>
    </row>
    <row r="2681" spans="1:20" ht="43.5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312"/>
        <v>3.3E-3</v>
      </c>
      <c r="P2681">
        <f t="shared" si="313"/>
        <v>20066</v>
      </c>
      <c r="Q2681" t="str">
        <f t="shared" si="316"/>
        <v>technology</v>
      </c>
      <c r="R2681" t="str">
        <f t="shared" si="317"/>
        <v>makerspaces</v>
      </c>
      <c r="S2681" s="9">
        <f t="shared" si="314"/>
        <v>42032.792754629627</v>
      </c>
      <c r="T2681" s="9">
        <f t="shared" si="315"/>
        <v>42062.792754629627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312"/>
        <v>8.6250000000000007E-3</v>
      </c>
      <c r="P2682">
        <f t="shared" si="313"/>
        <v>16138</v>
      </c>
      <c r="Q2682" t="str">
        <f t="shared" si="316"/>
        <v>technology</v>
      </c>
      <c r="R2682" t="str">
        <f t="shared" si="317"/>
        <v>makerspaces</v>
      </c>
      <c r="S2682" s="9">
        <f t="shared" si="314"/>
        <v>42436.003368055557</v>
      </c>
      <c r="T2682" s="9">
        <f t="shared" si="315"/>
        <v>42465.961701388886</v>
      </c>
    </row>
    <row r="2683" spans="1:20" ht="29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312"/>
        <v>6.875E-3</v>
      </c>
      <c r="P2683">
        <f t="shared" si="313"/>
        <v>4027.5</v>
      </c>
      <c r="Q2683" t="str">
        <f>IF(N2683="food/food trucks","food")</f>
        <v>food</v>
      </c>
      <c r="R2683" t="str">
        <f>IF(N2683="food/food trucks","food trucks")</f>
        <v>food trucks</v>
      </c>
      <c r="S2683" s="9">
        <f t="shared" si="314"/>
        <v>41805.686921296292</v>
      </c>
      <c r="T2683" s="9">
        <f t="shared" si="315"/>
        <v>41830.686921296292</v>
      </c>
    </row>
    <row r="2684" spans="1:20" ht="29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312"/>
        <v>0.28299999999999997</v>
      </c>
      <c r="P2684">
        <f t="shared" si="313"/>
        <v>3849</v>
      </c>
      <c r="Q2684" t="str">
        <f t="shared" ref="Q2684:Q2702" si="318">IF(N2684="food/food trucks","food")</f>
        <v>food</v>
      </c>
      <c r="R2684" t="str">
        <f t="shared" ref="R2684:R2702" si="319">IF(N2684="food/food trucks","food trucks")</f>
        <v>food trucks</v>
      </c>
      <c r="S2684" s="9">
        <f t="shared" si="314"/>
        <v>41932.663657407407</v>
      </c>
      <c r="T2684" s="9">
        <f t="shared" si="315"/>
        <v>41965.040972222218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312"/>
        <v>2.3999999999999998E-3</v>
      </c>
      <c r="P2685">
        <f t="shared" si="313"/>
        <v>7518</v>
      </c>
      <c r="Q2685" t="str">
        <f t="shared" si="318"/>
        <v>food</v>
      </c>
      <c r="R2685" t="str">
        <f t="shared" si="319"/>
        <v>food trucks</v>
      </c>
      <c r="S2685" s="9">
        <f t="shared" si="314"/>
        <v>42034.546759259254</v>
      </c>
      <c r="T2685" s="9">
        <f t="shared" si="315"/>
        <v>42064.546759259254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312"/>
        <v>1.1428571428571429E-2</v>
      </c>
      <c r="P2686">
        <f t="shared" si="313"/>
        <v>35400</v>
      </c>
      <c r="Q2686" t="str">
        <f t="shared" si="318"/>
        <v>food</v>
      </c>
      <c r="R2686" t="str">
        <f t="shared" si="319"/>
        <v>food trucks</v>
      </c>
      <c r="S2686" s="9">
        <f t="shared" si="314"/>
        <v>41820.706307870372</v>
      </c>
      <c r="T2686" s="9">
        <f t="shared" si="315"/>
        <v>41860.706307870372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312"/>
        <v>2.0000000000000001E-4</v>
      </c>
      <c r="P2687">
        <f t="shared" si="313"/>
        <v>25005</v>
      </c>
      <c r="Q2687" t="str">
        <f t="shared" si="318"/>
        <v>food</v>
      </c>
      <c r="R2687" t="str">
        <f t="shared" si="319"/>
        <v>food trucks</v>
      </c>
      <c r="S2687" s="9">
        <f t="shared" si="314"/>
        <v>42061.487615740734</v>
      </c>
      <c r="T2687" s="9">
        <f t="shared" si="315"/>
        <v>42121.44594907407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312"/>
        <v>0</v>
      </c>
      <c r="P2688">
        <f t="shared" si="313"/>
        <v>15000</v>
      </c>
      <c r="Q2688" t="str">
        <f t="shared" si="318"/>
        <v>food</v>
      </c>
      <c r="R2688" t="str">
        <f t="shared" si="319"/>
        <v>food trucks</v>
      </c>
      <c r="S2688" s="9">
        <f t="shared" si="314"/>
        <v>41892.766469907401</v>
      </c>
      <c r="T2688" s="9">
        <f t="shared" si="315"/>
        <v>41912.766469907401</v>
      </c>
    </row>
    <row r="2689" spans="1:20" ht="29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312"/>
        <v>0</v>
      </c>
      <c r="P2689">
        <f t="shared" si="313"/>
        <v>7500</v>
      </c>
      <c r="Q2689" t="str">
        <f t="shared" si="318"/>
        <v>food</v>
      </c>
      <c r="R2689" t="str">
        <f t="shared" si="319"/>
        <v>food trucks</v>
      </c>
      <c r="S2689" s="9">
        <f t="shared" si="314"/>
        <v>42154.431921296295</v>
      </c>
      <c r="T2689" s="9">
        <f t="shared" si="315"/>
        <v>42184.431921296295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312"/>
        <v>1.48E-3</v>
      </c>
      <c r="P2690">
        <f t="shared" si="313"/>
        <v>25037</v>
      </c>
      <c r="Q2690" t="str">
        <f t="shared" si="318"/>
        <v>food</v>
      </c>
      <c r="R2690" t="str">
        <f t="shared" si="319"/>
        <v>food trucks</v>
      </c>
      <c r="S2690" s="9">
        <f t="shared" si="314"/>
        <v>42027.910532407404</v>
      </c>
      <c r="T2690" s="9">
        <f t="shared" si="315"/>
        <v>42058.916666666664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320">E2691/D2691</f>
        <v>2.8571428571428571E-5</v>
      </c>
      <c r="P2691">
        <f t="shared" ref="P2691:P2754" si="321">AVERAGE(D2691:E2691)</f>
        <v>17500.5</v>
      </c>
      <c r="Q2691" t="str">
        <f t="shared" si="318"/>
        <v>food</v>
      </c>
      <c r="R2691" t="str">
        <f t="shared" si="319"/>
        <v>food trucks</v>
      </c>
      <c r="S2691" s="9">
        <f t="shared" ref="S2691:S2754" si="322">J2691/86400+25569+(-5/24)</f>
        <v>42551.75335648148</v>
      </c>
      <c r="T2691" s="9">
        <f t="shared" si="315"/>
        <v>42581.75335648148</v>
      </c>
    </row>
    <row r="2692" spans="1:20" ht="43.5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320"/>
        <v>0.107325</v>
      </c>
      <c r="P2692">
        <f t="shared" si="321"/>
        <v>44293</v>
      </c>
      <c r="Q2692" t="str">
        <f t="shared" si="318"/>
        <v>food</v>
      </c>
      <c r="R2692" t="str">
        <f t="shared" si="319"/>
        <v>food trucks</v>
      </c>
      <c r="S2692" s="9">
        <f t="shared" si="322"/>
        <v>42112.89671296296</v>
      </c>
      <c r="T2692" s="9">
        <f t="shared" ref="T2692:T2755" si="323">I2692/86400+25569+(-5/24)</f>
        <v>42157.89671296296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320"/>
        <v>5.3846153846153844E-4</v>
      </c>
      <c r="P2693">
        <f t="shared" si="321"/>
        <v>32517.5</v>
      </c>
      <c r="Q2693" t="str">
        <f t="shared" si="318"/>
        <v>food</v>
      </c>
      <c r="R2693" t="str">
        <f t="shared" si="319"/>
        <v>food trucks</v>
      </c>
      <c r="S2693" s="9">
        <f t="shared" si="322"/>
        <v>42089.515706018516</v>
      </c>
      <c r="T2693" s="9">
        <f t="shared" si="323"/>
        <v>42134.515706018516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320"/>
        <v>7.1428571428571426E-3</v>
      </c>
      <c r="P2694">
        <f t="shared" si="321"/>
        <v>1762.5</v>
      </c>
      <c r="Q2694" t="str">
        <f t="shared" si="318"/>
        <v>food</v>
      </c>
      <c r="R2694" t="str">
        <f t="shared" si="319"/>
        <v>food trucks</v>
      </c>
      <c r="S2694" s="9">
        <f t="shared" si="322"/>
        <v>42058.125694444439</v>
      </c>
      <c r="T2694" s="9">
        <f t="shared" si="323"/>
        <v>42088.084027777775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320"/>
        <v>8.0000000000000002E-3</v>
      </c>
      <c r="P2695">
        <f t="shared" si="321"/>
        <v>2520</v>
      </c>
      <c r="Q2695" t="str">
        <f t="shared" si="318"/>
        <v>food</v>
      </c>
      <c r="R2695" t="str">
        <f t="shared" si="319"/>
        <v>food trucks</v>
      </c>
      <c r="S2695" s="9">
        <f t="shared" si="322"/>
        <v>41833.930162037032</v>
      </c>
      <c r="T2695" s="9">
        <f t="shared" si="323"/>
        <v>41863.930162037032</v>
      </c>
    </row>
    <row r="2696" spans="1:20" ht="43.5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320"/>
        <v>3.3333333333333335E-5</v>
      </c>
      <c r="P2696">
        <f t="shared" si="321"/>
        <v>15000.5</v>
      </c>
      <c r="Q2696" t="str">
        <f t="shared" si="318"/>
        <v>food</v>
      </c>
      <c r="R2696" t="str">
        <f t="shared" si="319"/>
        <v>food trucks</v>
      </c>
      <c r="S2696" s="9">
        <f t="shared" si="322"/>
        <v>41877.932164351849</v>
      </c>
      <c r="T2696" s="9">
        <f t="shared" si="323"/>
        <v>41907.932164351849</v>
      </c>
    </row>
    <row r="2697" spans="1:20" ht="29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320"/>
        <v>4.7333333333333333E-3</v>
      </c>
      <c r="P2697">
        <f t="shared" si="321"/>
        <v>7535.5</v>
      </c>
      <c r="Q2697" t="str">
        <f t="shared" si="318"/>
        <v>food</v>
      </c>
      <c r="R2697" t="str">
        <f t="shared" si="319"/>
        <v>food trucks</v>
      </c>
      <c r="S2697" s="9">
        <f t="shared" si="322"/>
        <v>42047.973587962959</v>
      </c>
      <c r="T2697" s="9">
        <f t="shared" si="323"/>
        <v>42107.931921296295</v>
      </c>
    </row>
    <row r="2698" spans="1:20" ht="43.5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320"/>
        <v>5.6500000000000002E-2</v>
      </c>
      <c r="P2698">
        <f t="shared" si="321"/>
        <v>31695</v>
      </c>
      <c r="Q2698" t="str">
        <f t="shared" si="318"/>
        <v>food</v>
      </c>
      <c r="R2698" t="str">
        <f t="shared" si="319"/>
        <v>food trucks</v>
      </c>
      <c r="S2698" s="9">
        <f t="shared" si="322"/>
        <v>41964.636111111111</v>
      </c>
      <c r="T2698" s="9">
        <f t="shared" si="323"/>
        <v>41998.636111111111</v>
      </c>
    </row>
    <row r="2699" spans="1:20" ht="29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320"/>
        <v>0.26352173913043481</v>
      </c>
      <c r="P2699">
        <f t="shared" si="321"/>
        <v>14530.5</v>
      </c>
      <c r="Q2699" t="str">
        <f t="shared" si="318"/>
        <v>food</v>
      </c>
      <c r="R2699" t="str">
        <f t="shared" si="319"/>
        <v>food trucks</v>
      </c>
      <c r="S2699" s="9">
        <f t="shared" si="322"/>
        <v>42187.731747685182</v>
      </c>
      <c r="T2699" s="9">
        <f t="shared" si="323"/>
        <v>42218.708333333336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320"/>
        <v>3.2512500000000002E-3</v>
      </c>
      <c r="P2700">
        <f t="shared" si="321"/>
        <v>4013.0050000000001</v>
      </c>
      <c r="Q2700" t="str">
        <f t="shared" si="318"/>
        <v>food</v>
      </c>
      <c r="R2700" t="str">
        <f t="shared" si="319"/>
        <v>food trucks</v>
      </c>
      <c r="S2700" s="9">
        <f t="shared" si="322"/>
        <v>41787.689907407403</v>
      </c>
      <c r="T2700" s="9">
        <f t="shared" si="323"/>
        <v>41817.689907407403</v>
      </c>
    </row>
    <row r="2701" spans="1:20" ht="29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320"/>
        <v>0</v>
      </c>
      <c r="P2701">
        <f t="shared" si="321"/>
        <v>1</v>
      </c>
      <c r="Q2701" t="str">
        <f t="shared" si="318"/>
        <v>food</v>
      </c>
      <c r="R2701" t="str">
        <f t="shared" si="319"/>
        <v>food trucks</v>
      </c>
      <c r="S2701" s="9">
        <f t="shared" si="322"/>
        <v>41829.688229166662</v>
      </c>
      <c r="T2701" s="9">
        <f t="shared" si="323"/>
        <v>41859.688229166662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320"/>
        <v>7.0007000700070005E-3</v>
      </c>
      <c r="P2702">
        <f t="shared" si="321"/>
        <v>5034.5</v>
      </c>
      <c r="Q2702" t="str">
        <f t="shared" si="318"/>
        <v>food</v>
      </c>
      <c r="R2702" t="str">
        <f t="shared" si="319"/>
        <v>food trucks</v>
      </c>
      <c r="S2702" s="9">
        <f t="shared" si="322"/>
        <v>41870.666342592587</v>
      </c>
      <c r="T2702" s="9">
        <f t="shared" si="323"/>
        <v>41900.666342592587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320"/>
        <v>0.46176470588235297</v>
      </c>
      <c r="P2703">
        <f t="shared" si="321"/>
        <v>2485</v>
      </c>
      <c r="Q2703" t="str">
        <f>IF(N2703="theater/spaces","theater")</f>
        <v>theater</v>
      </c>
      <c r="R2703" t="str">
        <f>IF(N2703="theater/spaces","spaces")</f>
        <v>spaces</v>
      </c>
      <c r="S2703" s="9">
        <f t="shared" si="322"/>
        <v>42801.566365740735</v>
      </c>
      <c r="T2703" s="9">
        <f t="shared" si="323"/>
        <v>42832.524699074071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320"/>
        <v>0.34410000000000002</v>
      </c>
      <c r="P2704">
        <f t="shared" si="321"/>
        <v>6720.5</v>
      </c>
      <c r="Q2704" t="str">
        <f t="shared" ref="Q2704:Q2722" si="324">IF(N2704="theater/spaces","theater")</f>
        <v>theater</v>
      </c>
      <c r="R2704" t="str">
        <f t="shared" ref="R2704:R2722" si="325">IF(N2704="theater/spaces","spaces")</f>
        <v>spaces</v>
      </c>
      <c r="S2704" s="9">
        <f t="shared" si="322"/>
        <v>42800.593483796292</v>
      </c>
      <c r="T2704" s="9">
        <f t="shared" si="323"/>
        <v>42830.551817129628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320"/>
        <v>1.0375000000000001</v>
      </c>
      <c r="P2705">
        <f t="shared" si="321"/>
        <v>40750</v>
      </c>
      <c r="Q2705" t="str">
        <f t="shared" si="324"/>
        <v>theater</v>
      </c>
      <c r="R2705" t="str">
        <f t="shared" si="325"/>
        <v>spaces</v>
      </c>
      <c r="S2705" s="9">
        <f t="shared" si="322"/>
        <v>42756.481828703698</v>
      </c>
      <c r="T2705" s="9">
        <f t="shared" si="323"/>
        <v>42816.440162037034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320"/>
        <v>6.0263157894736845E-2</v>
      </c>
      <c r="P2706">
        <f t="shared" si="321"/>
        <v>10072.5</v>
      </c>
      <c r="Q2706" t="str">
        <f t="shared" si="324"/>
        <v>theater</v>
      </c>
      <c r="R2706" t="str">
        <f t="shared" si="325"/>
        <v>spaces</v>
      </c>
      <c r="S2706" s="9">
        <f t="shared" si="322"/>
        <v>42787.654097222221</v>
      </c>
      <c r="T2706" s="9">
        <f t="shared" si="323"/>
        <v>42830.61243055555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320"/>
        <v>0.10539393939393939</v>
      </c>
      <c r="P2707">
        <f t="shared" si="321"/>
        <v>9119.5</v>
      </c>
      <c r="Q2707" t="str">
        <f t="shared" si="324"/>
        <v>theater</v>
      </c>
      <c r="R2707" t="str">
        <f t="shared" si="325"/>
        <v>spaces</v>
      </c>
      <c r="S2707" s="9">
        <f t="shared" si="322"/>
        <v>42773.70784722222</v>
      </c>
      <c r="T2707" s="9">
        <f t="shared" si="323"/>
        <v>42818.666180555556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320"/>
        <v>1.1229714285714285</v>
      </c>
      <c r="P2708">
        <f t="shared" si="321"/>
        <v>37152</v>
      </c>
      <c r="Q2708" t="str">
        <f t="shared" si="324"/>
        <v>theater</v>
      </c>
      <c r="R2708" t="str">
        <f t="shared" si="325"/>
        <v>spaces</v>
      </c>
      <c r="S2708" s="9">
        <f t="shared" si="322"/>
        <v>41899.086608796293</v>
      </c>
      <c r="T2708" s="9">
        <f t="shared" si="323"/>
        <v>41928.082638888889</v>
      </c>
    </row>
    <row r="2709" spans="1:20" ht="29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320"/>
        <v>3.50844625</v>
      </c>
      <c r="P2709">
        <f t="shared" si="321"/>
        <v>18033.785</v>
      </c>
      <c r="Q2709" t="str">
        <f t="shared" si="324"/>
        <v>theater</v>
      </c>
      <c r="R2709" t="str">
        <f t="shared" si="325"/>
        <v>spaces</v>
      </c>
      <c r="S2709" s="9">
        <f t="shared" si="322"/>
        <v>41391.574571759258</v>
      </c>
      <c r="T2709" s="9">
        <f t="shared" si="323"/>
        <v>41421.082638888889</v>
      </c>
    </row>
    <row r="2710" spans="1:20" ht="29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320"/>
        <v>2.3321535</v>
      </c>
      <c r="P2710">
        <f t="shared" si="321"/>
        <v>33321.535000000003</v>
      </c>
      <c r="Q2710" t="str">
        <f t="shared" si="324"/>
        <v>theater</v>
      </c>
      <c r="R2710" t="str">
        <f t="shared" si="325"/>
        <v>spaces</v>
      </c>
      <c r="S2710" s="9">
        <f t="shared" si="322"/>
        <v>42512.489884259259</v>
      </c>
      <c r="T2710" s="9">
        <f t="shared" si="323"/>
        <v>42572.489884259259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320"/>
        <v>1.01606</v>
      </c>
      <c r="P2711">
        <f t="shared" si="321"/>
        <v>50401.5</v>
      </c>
      <c r="Q2711" t="str">
        <f t="shared" si="324"/>
        <v>theater</v>
      </c>
      <c r="R2711" t="str">
        <f t="shared" si="325"/>
        <v>spaces</v>
      </c>
      <c r="S2711" s="9">
        <f t="shared" si="322"/>
        <v>42611.941446759258</v>
      </c>
      <c r="T2711" s="9">
        <f t="shared" si="323"/>
        <v>42646.957638888889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320"/>
        <v>1.5390035000000002</v>
      </c>
      <c r="P2712">
        <f t="shared" si="321"/>
        <v>76170.10500000001</v>
      </c>
      <c r="Q2712" t="str">
        <f t="shared" si="324"/>
        <v>theater</v>
      </c>
      <c r="R2712" t="str">
        <f t="shared" si="325"/>
        <v>spaces</v>
      </c>
      <c r="S2712" s="9">
        <f t="shared" si="322"/>
        <v>41828.021157407406</v>
      </c>
      <c r="T2712" s="9">
        <f t="shared" si="323"/>
        <v>41859.875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320"/>
        <v>1.007161125319693</v>
      </c>
      <c r="P2713">
        <f t="shared" si="321"/>
        <v>3924</v>
      </c>
      <c r="Q2713" t="str">
        <f t="shared" si="324"/>
        <v>theater</v>
      </c>
      <c r="R2713" t="str">
        <f t="shared" si="325"/>
        <v>spaces</v>
      </c>
      <c r="S2713" s="9">
        <f t="shared" si="322"/>
        <v>41780.536921296291</v>
      </c>
      <c r="T2713" s="9">
        <f t="shared" si="323"/>
        <v>41810.709027777775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320"/>
        <v>1.3138181818181818</v>
      </c>
      <c r="P2714">
        <f t="shared" si="321"/>
        <v>6363</v>
      </c>
      <c r="Q2714" t="str">
        <f t="shared" si="324"/>
        <v>theater</v>
      </c>
      <c r="R2714" t="str">
        <f t="shared" si="325"/>
        <v>spaces</v>
      </c>
      <c r="S2714" s="9">
        <f t="shared" si="322"/>
        <v>41431.853703703702</v>
      </c>
      <c r="T2714" s="9">
        <f t="shared" si="323"/>
        <v>41468.541666666664</v>
      </c>
    </row>
    <row r="2715" spans="1:20" ht="43.5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320"/>
        <v>1.0224133333333334</v>
      </c>
      <c r="P2715">
        <f t="shared" si="321"/>
        <v>151681</v>
      </c>
      <c r="Q2715" t="str">
        <f t="shared" si="324"/>
        <v>theater</v>
      </c>
      <c r="R2715" t="str">
        <f t="shared" si="325"/>
        <v>spaces</v>
      </c>
      <c r="S2715" s="9">
        <f t="shared" si="322"/>
        <v>42322.445416666662</v>
      </c>
      <c r="T2715" s="9">
        <f t="shared" si="323"/>
        <v>42362.445416666662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320"/>
        <v>1.1635599999999999</v>
      </c>
      <c r="P2716">
        <f t="shared" si="321"/>
        <v>27044.5</v>
      </c>
      <c r="Q2716" t="str">
        <f t="shared" si="324"/>
        <v>theater</v>
      </c>
      <c r="R2716" t="str">
        <f t="shared" si="325"/>
        <v>spaces</v>
      </c>
      <c r="S2716" s="9">
        <f t="shared" si="322"/>
        <v>42629.446712962956</v>
      </c>
      <c r="T2716" s="9">
        <f t="shared" si="323"/>
        <v>42657.749999999993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320"/>
        <v>2.6462241666666664</v>
      </c>
      <c r="P2717">
        <f t="shared" si="321"/>
        <v>21877.345000000001</v>
      </c>
      <c r="Q2717" t="str">
        <f t="shared" si="324"/>
        <v>theater</v>
      </c>
      <c r="R2717" t="str">
        <f t="shared" si="325"/>
        <v>spaces</v>
      </c>
      <c r="S2717" s="9">
        <f t="shared" si="322"/>
        <v>42387.190138888887</v>
      </c>
      <c r="T2717" s="9">
        <f t="shared" si="323"/>
        <v>42421.190138888887</v>
      </c>
    </row>
    <row r="2718" spans="1:20" ht="58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320"/>
        <v>1.1998010000000001</v>
      </c>
      <c r="P2718">
        <f t="shared" si="321"/>
        <v>10999.005000000001</v>
      </c>
      <c r="Q2718" t="str">
        <f t="shared" si="324"/>
        <v>theater</v>
      </c>
      <c r="R2718" t="str">
        <f t="shared" si="325"/>
        <v>spaces</v>
      </c>
      <c r="S2718" s="9">
        <f t="shared" si="322"/>
        <v>42255.124918981477</v>
      </c>
      <c r="T2718" s="9">
        <f t="shared" si="323"/>
        <v>42285.124918981477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320"/>
        <v>1.2010400000000001</v>
      </c>
      <c r="P2719">
        <f t="shared" si="321"/>
        <v>27513</v>
      </c>
      <c r="Q2719" t="str">
        <f t="shared" si="324"/>
        <v>theater</v>
      </c>
      <c r="R2719" t="str">
        <f t="shared" si="325"/>
        <v>spaces</v>
      </c>
      <c r="S2719" s="9">
        <f t="shared" si="322"/>
        <v>41934.706585648142</v>
      </c>
      <c r="T2719" s="9">
        <f t="shared" si="323"/>
        <v>41979.748252314814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320"/>
        <v>1.0358333333333334</v>
      </c>
      <c r="P2720">
        <f t="shared" si="321"/>
        <v>18322.5</v>
      </c>
      <c r="Q2720" t="str">
        <f t="shared" si="324"/>
        <v>theater</v>
      </c>
      <c r="R2720" t="str">
        <f t="shared" si="325"/>
        <v>spaces</v>
      </c>
      <c r="S2720" s="9">
        <f t="shared" si="322"/>
        <v>42465.388252314813</v>
      </c>
      <c r="T2720" s="9">
        <f t="shared" si="323"/>
        <v>42493.749999999993</v>
      </c>
    </row>
    <row r="2721" spans="1:20" ht="43.5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320"/>
        <v>1.0883333333333334</v>
      </c>
      <c r="P2721">
        <f t="shared" si="321"/>
        <v>6265</v>
      </c>
      <c r="Q2721" t="str">
        <f t="shared" si="324"/>
        <v>theater</v>
      </c>
      <c r="R2721" t="str">
        <f t="shared" si="325"/>
        <v>spaces</v>
      </c>
      <c r="S2721" s="9">
        <f t="shared" si="322"/>
        <v>42417.822847222218</v>
      </c>
      <c r="T2721" s="9">
        <f t="shared" si="323"/>
        <v>42477.781180555554</v>
      </c>
    </row>
    <row r="2722" spans="1:20" ht="29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320"/>
        <v>1.1812400000000001</v>
      </c>
      <c r="P2722">
        <f t="shared" si="321"/>
        <v>27265.5</v>
      </c>
      <c r="Q2722" t="str">
        <f t="shared" si="324"/>
        <v>theater</v>
      </c>
      <c r="R2722" t="str">
        <f t="shared" si="325"/>
        <v>spaces</v>
      </c>
      <c r="S2722" s="9">
        <f t="shared" si="322"/>
        <v>42655.257557870369</v>
      </c>
      <c r="T2722" s="9">
        <f t="shared" si="323"/>
        <v>42685.299224537033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320"/>
        <v>14.62</v>
      </c>
      <c r="P2723">
        <f t="shared" si="321"/>
        <v>5857.5</v>
      </c>
      <c r="Q2723" t="str">
        <f>IF(N2723="technology/hardware","technology")</f>
        <v>technology</v>
      </c>
      <c r="R2723" t="str">
        <f>IF(N2723="technology/hardware","hardware")</f>
        <v>hardware</v>
      </c>
      <c r="S2723" s="9">
        <f t="shared" si="322"/>
        <v>41493.335625</v>
      </c>
      <c r="T2723" s="9">
        <f t="shared" si="323"/>
        <v>41523.583333333328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320"/>
        <v>2.5253999999999999</v>
      </c>
      <c r="P2724">
        <f t="shared" si="321"/>
        <v>8813.5</v>
      </c>
      <c r="Q2724" t="str">
        <f t="shared" ref="Q2724:Q2742" si="326">IF(N2724="technology/hardware","technology")</f>
        <v>technology</v>
      </c>
      <c r="R2724" t="str">
        <f t="shared" ref="R2724:R2742" si="327">IF(N2724="technology/hardware","hardware")</f>
        <v>hardware</v>
      </c>
      <c r="S2724" s="9">
        <f t="shared" si="322"/>
        <v>42704.64876157407</v>
      </c>
      <c r="T2724" s="9">
        <f t="shared" si="323"/>
        <v>42764.64876157407</v>
      </c>
    </row>
    <row r="2725" spans="1:20" ht="43.5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320"/>
        <v>1.4005000000000001</v>
      </c>
      <c r="P2725">
        <f t="shared" si="321"/>
        <v>14403</v>
      </c>
      <c r="Q2725" t="str">
        <f t="shared" si="326"/>
        <v>technology</v>
      </c>
      <c r="R2725" t="str">
        <f t="shared" si="327"/>
        <v>hardware</v>
      </c>
      <c r="S2725" s="9">
        <f t="shared" si="322"/>
        <v>41944.630648148144</v>
      </c>
      <c r="T2725" s="9">
        <f t="shared" si="323"/>
        <v>42004.672314814808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320"/>
        <v>2.9687520259319289</v>
      </c>
      <c r="P2726">
        <f t="shared" si="321"/>
        <v>4897.4400000000005</v>
      </c>
      <c r="Q2726" t="str">
        <f t="shared" si="326"/>
        <v>technology</v>
      </c>
      <c r="R2726" t="str">
        <f t="shared" si="327"/>
        <v>hardware</v>
      </c>
      <c r="S2726" s="9">
        <f t="shared" si="322"/>
        <v>42199.118738425925</v>
      </c>
      <c r="T2726" s="9">
        <f t="shared" si="323"/>
        <v>42231.118738425925</v>
      </c>
    </row>
    <row r="2727" spans="1:20" ht="29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320"/>
        <v>1.445425</v>
      </c>
      <c r="P2727">
        <f t="shared" si="321"/>
        <v>48908.5</v>
      </c>
      <c r="Q2727" t="str">
        <f t="shared" si="326"/>
        <v>technology</v>
      </c>
      <c r="R2727" t="str">
        <f t="shared" si="327"/>
        <v>hardware</v>
      </c>
      <c r="S2727" s="9">
        <f t="shared" si="322"/>
        <v>42745.53628472222</v>
      </c>
      <c r="T2727" s="9">
        <f t="shared" si="323"/>
        <v>42795.53628472222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320"/>
        <v>1.05745</v>
      </c>
      <c r="P2728">
        <f t="shared" si="321"/>
        <v>102872.5</v>
      </c>
      <c r="Q2728" t="str">
        <f t="shared" si="326"/>
        <v>technology</v>
      </c>
      <c r="R2728" t="str">
        <f t="shared" si="327"/>
        <v>hardware</v>
      </c>
      <c r="S2728" s="9">
        <f t="shared" si="322"/>
        <v>42452.371655092589</v>
      </c>
      <c r="T2728" s="9">
        <f t="shared" si="323"/>
        <v>42482.371655092589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320"/>
        <v>4.9321000000000002</v>
      </c>
      <c r="P2729">
        <f t="shared" si="321"/>
        <v>29660.5</v>
      </c>
      <c r="Q2729" t="str">
        <f t="shared" si="326"/>
        <v>technology</v>
      </c>
      <c r="R2729" t="str">
        <f t="shared" si="327"/>
        <v>hardware</v>
      </c>
      <c r="S2729" s="9">
        <f t="shared" si="322"/>
        <v>42198.468321759261</v>
      </c>
      <c r="T2729" s="9">
        <f t="shared" si="323"/>
        <v>42223.468321759261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320"/>
        <v>2.0182666666666669</v>
      </c>
      <c r="P2730">
        <f t="shared" si="321"/>
        <v>22637</v>
      </c>
      <c r="Q2730" t="str">
        <f t="shared" si="326"/>
        <v>technology</v>
      </c>
      <c r="R2730" t="str">
        <f t="shared" si="327"/>
        <v>hardware</v>
      </c>
      <c r="S2730" s="9">
        <f t="shared" si="322"/>
        <v>42333.391597222224</v>
      </c>
      <c r="T2730" s="9">
        <f t="shared" si="323"/>
        <v>42368.391597222224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320"/>
        <v>1.0444</v>
      </c>
      <c r="P2731">
        <f t="shared" si="321"/>
        <v>7666.5</v>
      </c>
      <c r="Q2731" t="str">
        <f t="shared" si="326"/>
        <v>technology</v>
      </c>
      <c r="R2731" t="str">
        <f t="shared" si="327"/>
        <v>hardware</v>
      </c>
      <c r="S2731" s="9">
        <f t="shared" si="322"/>
        <v>42095.032372685186</v>
      </c>
      <c r="T2731" s="9">
        <f t="shared" si="323"/>
        <v>42125.032372685186</v>
      </c>
    </row>
    <row r="2732" spans="1:20" ht="29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320"/>
        <v>1.7029262962962963</v>
      </c>
      <c r="P2732">
        <f t="shared" si="321"/>
        <v>36489.505000000005</v>
      </c>
      <c r="Q2732" t="str">
        <f t="shared" si="326"/>
        <v>technology</v>
      </c>
      <c r="R2732" t="str">
        <f t="shared" si="327"/>
        <v>hardware</v>
      </c>
      <c r="S2732" s="9">
        <f t="shared" si="322"/>
        <v>41351.333043981482</v>
      </c>
      <c r="T2732" s="9">
        <f t="shared" si="323"/>
        <v>41386.333043981482</v>
      </c>
    </row>
    <row r="2733" spans="1:20" ht="43.5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320"/>
        <v>1.0430333333333333</v>
      </c>
      <c r="P2733">
        <f t="shared" si="321"/>
        <v>30645.5</v>
      </c>
      <c r="Q2733" t="str">
        <f t="shared" si="326"/>
        <v>technology</v>
      </c>
      <c r="R2733" t="str">
        <f t="shared" si="327"/>
        <v>hardware</v>
      </c>
      <c r="S2733" s="9">
        <f t="shared" si="322"/>
        <v>41872.317384259259</v>
      </c>
      <c r="T2733" s="9">
        <f t="shared" si="323"/>
        <v>41929.958333333328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320"/>
        <v>1.1825000000000001</v>
      </c>
      <c r="P2734">
        <f t="shared" si="321"/>
        <v>13095</v>
      </c>
      <c r="Q2734" t="str">
        <f t="shared" si="326"/>
        <v>technology</v>
      </c>
      <c r="R2734" t="str">
        <f t="shared" si="327"/>
        <v>hardware</v>
      </c>
      <c r="S2734" s="9">
        <f t="shared" si="322"/>
        <v>41389.599861111106</v>
      </c>
      <c r="T2734" s="9">
        <f t="shared" si="323"/>
        <v>41421.791666666664</v>
      </c>
    </row>
    <row r="2735" spans="1:20" ht="43.5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320"/>
        <v>1.07538</v>
      </c>
      <c r="P2735">
        <f t="shared" si="321"/>
        <v>51884.5</v>
      </c>
      <c r="Q2735" t="str">
        <f t="shared" si="326"/>
        <v>technology</v>
      </c>
      <c r="R2735" t="str">
        <f t="shared" si="327"/>
        <v>hardware</v>
      </c>
      <c r="S2735" s="9">
        <f t="shared" si="322"/>
        <v>42044.064513888887</v>
      </c>
      <c r="T2735" s="9">
        <f t="shared" si="323"/>
        <v>42104.022847222215</v>
      </c>
    </row>
    <row r="2736" spans="1:20" ht="43.5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320"/>
        <v>22603</v>
      </c>
      <c r="P2736">
        <f t="shared" si="321"/>
        <v>11302</v>
      </c>
      <c r="Q2736" t="str">
        <f t="shared" si="326"/>
        <v>technology</v>
      </c>
      <c r="R2736" t="str">
        <f t="shared" si="327"/>
        <v>hardware</v>
      </c>
      <c r="S2736" s="9">
        <f t="shared" si="322"/>
        <v>42626.460555555554</v>
      </c>
      <c r="T2736" s="9">
        <f t="shared" si="323"/>
        <v>42656.707638888889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320"/>
        <v>9.7813466666666677</v>
      </c>
      <c r="P2737">
        <f t="shared" si="321"/>
        <v>4043.0050000000001</v>
      </c>
      <c r="Q2737" t="str">
        <f t="shared" si="326"/>
        <v>technology</v>
      </c>
      <c r="R2737" t="str">
        <f t="shared" si="327"/>
        <v>hardware</v>
      </c>
      <c r="S2737" s="9">
        <f t="shared" si="322"/>
        <v>41315.912615740737</v>
      </c>
      <c r="T2737" s="9">
        <f t="shared" si="323"/>
        <v>41346.625</v>
      </c>
    </row>
    <row r="2738" spans="1:20" ht="58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320"/>
        <v>1.2290000000000001</v>
      </c>
      <c r="P2738">
        <f t="shared" si="321"/>
        <v>8916</v>
      </c>
      <c r="Q2738" t="str">
        <f t="shared" si="326"/>
        <v>technology</v>
      </c>
      <c r="R2738" t="str">
        <f t="shared" si="327"/>
        <v>hardware</v>
      </c>
      <c r="S2738" s="9">
        <f t="shared" si="322"/>
        <v>41722.458020833328</v>
      </c>
      <c r="T2738" s="9">
        <f t="shared" si="323"/>
        <v>41752.458020833328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320"/>
        <v>2.4606080000000001</v>
      </c>
      <c r="P2739">
        <f t="shared" si="321"/>
        <v>51909.120000000003</v>
      </c>
      <c r="Q2739" t="str">
        <f t="shared" si="326"/>
        <v>technology</v>
      </c>
      <c r="R2739" t="str">
        <f t="shared" si="327"/>
        <v>hardware</v>
      </c>
      <c r="S2739" s="9">
        <f t="shared" si="322"/>
        <v>41611.709340277775</v>
      </c>
      <c r="T2739" s="9">
        <f t="shared" si="323"/>
        <v>41654.583333333328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320"/>
        <v>1.4794</v>
      </c>
      <c r="P2740">
        <f t="shared" si="321"/>
        <v>6198.5</v>
      </c>
      <c r="Q2740" t="str">
        <f t="shared" si="326"/>
        <v>technology</v>
      </c>
      <c r="R2740" t="str">
        <f t="shared" si="327"/>
        <v>hardware</v>
      </c>
      <c r="S2740" s="9">
        <f t="shared" si="322"/>
        <v>42619.935231481482</v>
      </c>
      <c r="T2740" s="9">
        <f t="shared" si="323"/>
        <v>42679.935231481482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320"/>
        <v>3.8409090909090908</v>
      </c>
      <c r="P2741">
        <f t="shared" si="321"/>
        <v>2662.5</v>
      </c>
      <c r="Q2741" t="str">
        <f t="shared" si="326"/>
        <v>technology</v>
      </c>
      <c r="R2741" t="str">
        <f t="shared" si="327"/>
        <v>hardware</v>
      </c>
      <c r="S2741" s="9">
        <f t="shared" si="322"/>
        <v>41719.679594907408</v>
      </c>
      <c r="T2741" s="9">
        <f t="shared" si="323"/>
        <v>41764.679594907408</v>
      </c>
    </row>
    <row r="2742" spans="1:20" ht="29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320"/>
        <v>1.0333333333333334</v>
      </c>
      <c r="P2742">
        <f t="shared" si="321"/>
        <v>305</v>
      </c>
      <c r="Q2742" t="str">
        <f t="shared" si="326"/>
        <v>technology</v>
      </c>
      <c r="R2742" t="str">
        <f t="shared" si="327"/>
        <v>hardware</v>
      </c>
      <c r="S2742" s="9">
        <f t="shared" si="322"/>
        <v>42044.823518518511</v>
      </c>
      <c r="T2742" s="9">
        <f t="shared" si="323"/>
        <v>42074.781851851854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320"/>
        <v>4.3750000000000004E-3</v>
      </c>
      <c r="P2743">
        <f t="shared" si="321"/>
        <v>4017.5</v>
      </c>
      <c r="Q2743" t="str">
        <f>IF(N2743="publishing/children's books","publishing")</f>
        <v>publishing</v>
      </c>
      <c r="R2743" t="str">
        <f>IF(N2743="publishing/children's books","children's books")</f>
        <v>children's books</v>
      </c>
      <c r="S2743" s="9">
        <f t="shared" si="322"/>
        <v>41911.449097222219</v>
      </c>
      <c r="T2743" s="9">
        <f t="shared" si="323"/>
        <v>41931.879861111105</v>
      </c>
    </row>
    <row r="2744" spans="1:20" ht="29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320"/>
        <v>0.29239999999999999</v>
      </c>
      <c r="P2744">
        <f t="shared" si="321"/>
        <v>1615.5</v>
      </c>
      <c r="Q2744" t="str">
        <f t="shared" ref="Q2744:Q2782" si="328">IF(N2744="publishing/children's books","publishing")</f>
        <v>publishing</v>
      </c>
      <c r="R2744" t="str">
        <f t="shared" ref="R2744:R2782" si="329">IF(N2744="publishing/children's books","children's books")</f>
        <v>children's books</v>
      </c>
      <c r="S2744" s="9">
        <f t="shared" si="322"/>
        <v>41030.511423611111</v>
      </c>
      <c r="T2744" s="9">
        <f t="shared" si="323"/>
        <v>41044.511423611111</v>
      </c>
    </row>
    <row r="2745" spans="1:20" ht="43.5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320"/>
        <v>0</v>
      </c>
      <c r="P2745">
        <f t="shared" si="321"/>
        <v>2999.5</v>
      </c>
      <c r="Q2745" t="str">
        <f t="shared" si="328"/>
        <v>publishing</v>
      </c>
      <c r="R2745" t="str">
        <f t="shared" si="329"/>
        <v>children's books</v>
      </c>
      <c r="S2745" s="9">
        <f t="shared" si="322"/>
        <v>42632.120451388888</v>
      </c>
      <c r="T2745" s="9">
        <f t="shared" si="323"/>
        <v>42662.120451388888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320"/>
        <v>5.2187499999999998E-2</v>
      </c>
      <c r="P2746">
        <f t="shared" si="321"/>
        <v>8417.5</v>
      </c>
      <c r="Q2746" t="str">
        <f t="shared" si="328"/>
        <v>publishing</v>
      </c>
      <c r="R2746" t="str">
        <f t="shared" si="329"/>
        <v>children's books</v>
      </c>
      <c r="S2746" s="9">
        <f t="shared" si="322"/>
        <v>40937.854143518518</v>
      </c>
      <c r="T2746" s="9">
        <f t="shared" si="323"/>
        <v>40967.854143518518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320"/>
        <v>0.21887499999999999</v>
      </c>
      <c r="P2747">
        <f t="shared" si="321"/>
        <v>4875.5</v>
      </c>
      <c r="Q2747" t="str">
        <f t="shared" si="328"/>
        <v>publishing</v>
      </c>
      <c r="R2747" t="str">
        <f t="shared" si="329"/>
        <v>children's books</v>
      </c>
      <c r="S2747" s="9">
        <f t="shared" si="322"/>
        <v>41044.779722222222</v>
      </c>
      <c r="T2747" s="9">
        <f t="shared" si="323"/>
        <v>41104.779722222222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320"/>
        <v>0.26700000000000002</v>
      </c>
      <c r="P2748">
        <f t="shared" si="321"/>
        <v>1900.5</v>
      </c>
      <c r="Q2748" t="str">
        <f t="shared" si="328"/>
        <v>publishing</v>
      </c>
      <c r="R2748" t="str">
        <f t="shared" si="329"/>
        <v>children's books</v>
      </c>
      <c r="S2748" s="9">
        <f t="shared" si="322"/>
        <v>41850.57304398148</v>
      </c>
      <c r="T2748" s="9">
        <f t="shared" si="323"/>
        <v>41880.57304398148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320"/>
        <v>0.28000000000000003</v>
      </c>
      <c r="P2749">
        <f t="shared" si="321"/>
        <v>320</v>
      </c>
      <c r="Q2749" t="str">
        <f t="shared" si="328"/>
        <v>publishing</v>
      </c>
      <c r="R2749" t="str">
        <f t="shared" si="329"/>
        <v>children's books</v>
      </c>
      <c r="S2749" s="9">
        <f t="shared" si="322"/>
        <v>41044.439780092587</v>
      </c>
      <c r="T2749" s="9">
        <f t="shared" si="323"/>
        <v>41075.923611111109</v>
      </c>
    </row>
    <row r="2750" spans="1:20" ht="29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320"/>
        <v>1.06E-2</v>
      </c>
      <c r="P2750">
        <f t="shared" si="321"/>
        <v>2526.5</v>
      </c>
      <c r="Q2750" t="str">
        <f t="shared" si="328"/>
        <v>publishing</v>
      </c>
      <c r="R2750" t="str">
        <f t="shared" si="329"/>
        <v>children's books</v>
      </c>
      <c r="S2750" s="9">
        <f t="shared" si="322"/>
        <v>42585.502337962964</v>
      </c>
      <c r="T2750" s="9">
        <f t="shared" si="323"/>
        <v>42615.502337962964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320"/>
        <v>1.0999999999999999E-2</v>
      </c>
      <c r="P2751">
        <f t="shared" si="321"/>
        <v>5055</v>
      </c>
      <c r="Q2751" t="str">
        <f t="shared" si="328"/>
        <v>publishing</v>
      </c>
      <c r="R2751" t="str">
        <f t="shared" si="329"/>
        <v>children's books</v>
      </c>
      <c r="S2751" s="9">
        <f t="shared" si="322"/>
        <v>42068.59070601852</v>
      </c>
      <c r="T2751" s="9">
        <f t="shared" si="323"/>
        <v>42098.549039351848</v>
      </c>
    </row>
    <row r="2752" spans="1:20" ht="29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320"/>
        <v>0</v>
      </c>
      <c r="P2752">
        <f t="shared" si="321"/>
        <v>999.5</v>
      </c>
      <c r="Q2752" t="str">
        <f t="shared" si="328"/>
        <v>publishing</v>
      </c>
      <c r="R2752" t="str">
        <f t="shared" si="329"/>
        <v>children's books</v>
      </c>
      <c r="S2752" s="9">
        <f t="shared" si="322"/>
        <v>41078.691493055558</v>
      </c>
      <c r="T2752" s="9">
        <f t="shared" si="323"/>
        <v>41090.625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320"/>
        <v>0</v>
      </c>
      <c r="P2753">
        <f t="shared" si="321"/>
        <v>1637</v>
      </c>
      <c r="Q2753" t="str">
        <f t="shared" si="328"/>
        <v>publishing</v>
      </c>
      <c r="R2753" t="str">
        <f t="shared" si="329"/>
        <v>children's books</v>
      </c>
      <c r="S2753" s="9">
        <f t="shared" si="322"/>
        <v>41747.678726851846</v>
      </c>
      <c r="T2753" s="9">
        <f t="shared" si="323"/>
        <v>41807.678726851846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320"/>
        <v>0.11458333333333333</v>
      </c>
      <c r="P2754">
        <f t="shared" si="321"/>
        <v>2675</v>
      </c>
      <c r="Q2754" t="str">
        <f t="shared" si="328"/>
        <v>publishing</v>
      </c>
      <c r="R2754" t="str">
        <f t="shared" si="329"/>
        <v>children's books</v>
      </c>
      <c r="S2754" s="9">
        <f t="shared" si="322"/>
        <v>40855.556759259256</v>
      </c>
      <c r="T2754" s="9">
        <f t="shared" si="323"/>
        <v>40895.556759259256</v>
      </c>
    </row>
    <row r="2755" spans="1:20" ht="29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30">E2755/D2755</f>
        <v>0.19</v>
      </c>
      <c r="P2755">
        <f t="shared" ref="P2755:P2818" si="331">AVERAGE(D2755:E2755)</f>
        <v>1190</v>
      </c>
      <c r="Q2755" t="str">
        <f t="shared" si="328"/>
        <v>publishing</v>
      </c>
      <c r="R2755" t="str">
        <f t="shared" si="329"/>
        <v>children's books</v>
      </c>
      <c r="S2755" s="9">
        <f t="shared" ref="S2755:S2818" si="332">J2755/86400+25569+(-5/24)</f>
        <v>41117.692395833328</v>
      </c>
      <c r="T2755" s="9">
        <f t="shared" si="323"/>
        <v>41147.692395833328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30"/>
        <v>0</v>
      </c>
      <c r="P2756">
        <f t="shared" si="331"/>
        <v>5000</v>
      </c>
      <c r="Q2756" t="str">
        <f t="shared" si="328"/>
        <v>publishing</v>
      </c>
      <c r="R2756" t="str">
        <f t="shared" si="329"/>
        <v>children's books</v>
      </c>
      <c r="S2756" s="9">
        <f t="shared" si="332"/>
        <v>41863.427673611106</v>
      </c>
      <c r="T2756" s="9">
        <f t="shared" ref="T2756:T2819" si="333">I2756/86400+25569+(-5/24)</f>
        <v>41893.427673611106</v>
      </c>
    </row>
    <row r="2757" spans="1:20" ht="29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30"/>
        <v>0.52</v>
      </c>
      <c r="P2757">
        <f t="shared" si="331"/>
        <v>380</v>
      </c>
      <c r="Q2757" t="str">
        <f t="shared" si="328"/>
        <v>publishing</v>
      </c>
      <c r="R2757" t="str">
        <f t="shared" si="329"/>
        <v>children's books</v>
      </c>
      <c r="S2757" s="9">
        <f t="shared" si="332"/>
        <v>42072.582488425927</v>
      </c>
      <c r="T2757" s="9">
        <f t="shared" si="333"/>
        <v>42102.582488425927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30"/>
        <v>0.1048</v>
      </c>
      <c r="P2758">
        <f t="shared" si="331"/>
        <v>5524</v>
      </c>
      <c r="Q2758" t="str">
        <f t="shared" si="328"/>
        <v>publishing</v>
      </c>
      <c r="R2758" t="str">
        <f t="shared" si="329"/>
        <v>children's books</v>
      </c>
      <c r="S2758" s="9">
        <f t="shared" si="332"/>
        <v>41620.692141203697</v>
      </c>
      <c r="T2758" s="9">
        <f t="shared" si="333"/>
        <v>41650.692141203697</v>
      </c>
    </row>
    <row r="2759" spans="1:20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30"/>
        <v>6.6666666666666671E-3</v>
      </c>
      <c r="P2759">
        <f t="shared" si="331"/>
        <v>755</v>
      </c>
      <c r="Q2759" t="str">
        <f t="shared" si="328"/>
        <v>publishing</v>
      </c>
      <c r="R2759" t="str">
        <f t="shared" si="329"/>
        <v>children's books</v>
      </c>
      <c r="S2759" s="9">
        <f t="shared" si="332"/>
        <v>42573.448287037034</v>
      </c>
      <c r="T2759" s="9">
        <f t="shared" si="333"/>
        <v>42588.448287037034</v>
      </c>
    </row>
    <row r="2760" spans="1:20" ht="43.5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30"/>
        <v>0.11700000000000001</v>
      </c>
      <c r="P2760">
        <f t="shared" si="331"/>
        <v>1117</v>
      </c>
      <c r="Q2760" t="str">
        <f t="shared" si="328"/>
        <v>publishing</v>
      </c>
      <c r="R2760" t="str">
        <f t="shared" si="329"/>
        <v>children's books</v>
      </c>
      <c r="S2760" s="9">
        <f t="shared" si="332"/>
        <v>42639.23359953703</v>
      </c>
      <c r="T2760" s="9">
        <f t="shared" si="333"/>
        <v>42653.23359953703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30"/>
        <v>0.105</v>
      </c>
      <c r="P2761">
        <f t="shared" si="331"/>
        <v>552.5</v>
      </c>
      <c r="Q2761" t="str">
        <f t="shared" si="328"/>
        <v>publishing</v>
      </c>
      <c r="R2761" t="str">
        <f t="shared" si="329"/>
        <v>children's books</v>
      </c>
      <c r="S2761" s="9">
        <f t="shared" si="332"/>
        <v>42524.158171296294</v>
      </c>
      <c r="T2761" s="9">
        <f t="shared" si="333"/>
        <v>42567.158171296294</v>
      </c>
    </row>
    <row r="2762" spans="1:20" ht="43.5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30"/>
        <v>0</v>
      </c>
      <c r="P2762">
        <f t="shared" si="331"/>
        <v>2500</v>
      </c>
      <c r="Q2762" t="str">
        <f t="shared" si="328"/>
        <v>publishing</v>
      </c>
      <c r="R2762" t="str">
        <f t="shared" si="329"/>
        <v>children's books</v>
      </c>
      <c r="S2762" s="9">
        <f t="shared" si="332"/>
        <v>41415.252986111111</v>
      </c>
      <c r="T2762" s="9">
        <f t="shared" si="333"/>
        <v>41445.252986111111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30"/>
        <v>7.1999999999999998E-3</v>
      </c>
      <c r="P2763">
        <f t="shared" si="331"/>
        <v>2518</v>
      </c>
      <c r="Q2763" t="str">
        <f t="shared" si="328"/>
        <v>publishing</v>
      </c>
      <c r="R2763" t="str">
        <f t="shared" si="329"/>
        <v>children's books</v>
      </c>
      <c r="S2763" s="9">
        <f t="shared" si="332"/>
        <v>41246.85524305555</v>
      </c>
      <c r="T2763" s="9">
        <f t="shared" si="333"/>
        <v>41276.85524305555</v>
      </c>
    </row>
    <row r="2764" spans="1:20" ht="29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30"/>
        <v>7.6923076923076927E-3</v>
      </c>
      <c r="P2764">
        <f t="shared" si="331"/>
        <v>1637.5</v>
      </c>
      <c r="Q2764" t="str">
        <f t="shared" si="328"/>
        <v>publishing</v>
      </c>
      <c r="R2764" t="str">
        <f t="shared" si="329"/>
        <v>children's books</v>
      </c>
      <c r="S2764" s="9">
        <f t="shared" si="332"/>
        <v>40926.828645833331</v>
      </c>
      <c r="T2764" s="9">
        <f t="shared" si="333"/>
        <v>40986.786979166667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30"/>
        <v>2.2842639593908631E-3</v>
      </c>
      <c r="P2765">
        <f t="shared" si="331"/>
        <v>19745</v>
      </c>
      <c r="Q2765" t="str">
        <f t="shared" si="328"/>
        <v>publishing</v>
      </c>
      <c r="R2765" t="str">
        <f t="shared" si="329"/>
        <v>children's books</v>
      </c>
      <c r="S2765" s="9">
        <f t="shared" si="332"/>
        <v>41373.371342592589</v>
      </c>
      <c r="T2765" s="9">
        <f t="shared" si="333"/>
        <v>41418.371342592589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30"/>
        <v>1.125E-2</v>
      </c>
      <c r="P2766">
        <f t="shared" si="331"/>
        <v>2022.5</v>
      </c>
      <c r="Q2766" t="str">
        <f t="shared" si="328"/>
        <v>publishing</v>
      </c>
      <c r="R2766" t="str">
        <f t="shared" si="329"/>
        <v>children's books</v>
      </c>
      <c r="S2766" s="9">
        <f t="shared" si="332"/>
        <v>41030.083692129629</v>
      </c>
      <c r="T2766" s="9">
        <f t="shared" si="333"/>
        <v>41059.583333333328</v>
      </c>
    </row>
    <row r="2767" spans="1:20" ht="29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30"/>
        <v>0</v>
      </c>
      <c r="P2767">
        <f t="shared" si="331"/>
        <v>2000</v>
      </c>
      <c r="Q2767" t="str">
        <f t="shared" si="328"/>
        <v>publishing</v>
      </c>
      <c r="R2767" t="str">
        <f t="shared" si="329"/>
        <v>children's books</v>
      </c>
      <c r="S2767" s="9">
        <f t="shared" si="332"/>
        <v>41194.370694444442</v>
      </c>
      <c r="T2767" s="9">
        <f t="shared" si="333"/>
        <v>41210.370694444442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30"/>
        <v>0.02</v>
      </c>
      <c r="P2768">
        <f t="shared" si="331"/>
        <v>2550</v>
      </c>
      <c r="Q2768" t="str">
        <f t="shared" si="328"/>
        <v>publishing</v>
      </c>
      <c r="R2768" t="str">
        <f t="shared" si="329"/>
        <v>children's books</v>
      </c>
      <c r="S2768" s="9">
        <f t="shared" si="332"/>
        <v>40736.459699074076</v>
      </c>
      <c r="T2768" s="9">
        <f t="shared" si="333"/>
        <v>40766.459699074076</v>
      </c>
    </row>
    <row r="2769" spans="1:20" ht="29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30"/>
        <v>8.5000000000000006E-3</v>
      </c>
      <c r="P2769">
        <f t="shared" si="331"/>
        <v>2017</v>
      </c>
      <c r="Q2769" t="str">
        <f t="shared" si="328"/>
        <v>publishing</v>
      </c>
      <c r="R2769" t="str">
        <f t="shared" si="329"/>
        <v>children's books</v>
      </c>
      <c r="S2769" s="9">
        <f t="shared" si="332"/>
        <v>42172.750578703701</v>
      </c>
      <c r="T2769" s="9">
        <f t="shared" si="333"/>
        <v>42232.750578703701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30"/>
        <v>0.14314285714285716</v>
      </c>
      <c r="P2770">
        <f t="shared" si="331"/>
        <v>4001</v>
      </c>
      <c r="Q2770" t="str">
        <f t="shared" si="328"/>
        <v>publishing</v>
      </c>
      <c r="R2770" t="str">
        <f t="shared" si="329"/>
        <v>children's books</v>
      </c>
      <c r="S2770" s="9">
        <f t="shared" si="332"/>
        <v>40967.4065162037</v>
      </c>
      <c r="T2770" s="9">
        <f t="shared" si="333"/>
        <v>40997.364849537036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30"/>
        <v>2.5000000000000001E-3</v>
      </c>
      <c r="P2771">
        <f t="shared" si="331"/>
        <v>401</v>
      </c>
      <c r="Q2771" t="str">
        <f t="shared" si="328"/>
        <v>publishing</v>
      </c>
      <c r="R2771" t="str">
        <f t="shared" si="329"/>
        <v>children's books</v>
      </c>
      <c r="S2771" s="9">
        <f t="shared" si="332"/>
        <v>41745.617939814816</v>
      </c>
      <c r="T2771" s="9">
        <f t="shared" si="333"/>
        <v>41795.617939814816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30"/>
        <v>0.1041125</v>
      </c>
      <c r="P2772">
        <f t="shared" si="331"/>
        <v>11041.125</v>
      </c>
      <c r="Q2772" t="str">
        <f t="shared" si="328"/>
        <v>publishing</v>
      </c>
      <c r="R2772" t="str">
        <f t="shared" si="329"/>
        <v>children's books</v>
      </c>
      <c r="S2772" s="9">
        <f t="shared" si="332"/>
        <v>41686.496874999997</v>
      </c>
      <c r="T2772" s="9">
        <f t="shared" si="333"/>
        <v>41716.455208333333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30"/>
        <v>0</v>
      </c>
      <c r="P2773">
        <f t="shared" si="331"/>
        <v>9990</v>
      </c>
      <c r="Q2773" t="str">
        <f t="shared" si="328"/>
        <v>publishing</v>
      </c>
      <c r="R2773" t="str">
        <f t="shared" si="329"/>
        <v>children's books</v>
      </c>
      <c r="S2773" s="9">
        <f t="shared" si="332"/>
        <v>41257.323379629626</v>
      </c>
      <c r="T2773" s="9">
        <f t="shared" si="333"/>
        <v>41306.5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30"/>
        <v>0</v>
      </c>
      <c r="P2774">
        <f t="shared" si="331"/>
        <v>4000</v>
      </c>
      <c r="Q2774" t="str">
        <f t="shared" si="328"/>
        <v>publishing</v>
      </c>
      <c r="R2774" t="str">
        <f t="shared" si="329"/>
        <v>children's books</v>
      </c>
      <c r="S2774" s="9">
        <f t="shared" si="332"/>
        <v>41537.660810185182</v>
      </c>
      <c r="T2774" s="9">
        <f t="shared" si="333"/>
        <v>41552.660810185182</v>
      </c>
    </row>
    <row r="2775" spans="1:20" ht="29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30"/>
        <v>1.8867924528301887E-3</v>
      </c>
      <c r="P2775">
        <f t="shared" si="331"/>
        <v>265.5</v>
      </c>
      <c r="Q2775" t="str">
        <f t="shared" si="328"/>
        <v>publishing</v>
      </c>
      <c r="R2775" t="str">
        <f t="shared" si="329"/>
        <v>children's books</v>
      </c>
      <c r="S2775" s="9">
        <f t="shared" si="332"/>
        <v>42474.656493055554</v>
      </c>
      <c r="T2775" s="9">
        <f t="shared" si="333"/>
        <v>42484.656493055554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30"/>
        <v>0.14249999999999999</v>
      </c>
      <c r="P2776">
        <f t="shared" si="331"/>
        <v>2285</v>
      </c>
      <c r="Q2776" t="str">
        <f t="shared" si="328"/>
        <v>publishing</v>
      </c>
      <c r="R2776" t="str">
        <f t="shared" si="329"/>
        <v>children's books</v>
      </c>
      <c r="S2776" s="9">
        <f t="shared" si="332"/>
        <v>41310.918148148143</v>
      </c>
      <c r="T2776" s="9">
        <f t="shared" si="333"/>
        <v>41340.918148148143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30"/>
        <v>0.03</v>
      </c>
      <c r="P2777">
        <f t="shared" si="331"/>
        <v>2575</v>
      </c>
      <c r="Q2777" t="str">
        <f t="shared" si="328"/>
        <v>publishing</v>
      </c>
      <c r="R2777" t="str">
        <f t="shared" si="329"/>
        <v>children's books</v>
      </c>
      <c r="S2777" s="9">
        <f t="shared" si="332"/>
        <v>40862.805023148147</v>
      </c>
      <c r="T2777" s="9">
        <f t="shared" si="333"/>
        <v>40892.805023148147</v>
      </c>
    </row>
    <row r="2778" spans="1:20" ht="43.5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30"/>
        <v>7.8809523809523815E-2</v>
      </c>
      <c r="P2778">
        <f t="shared" si="331"/>
        <v>11327.5</v>
      </c>
      <c r="Q2778" t="str">
        <f t="shared" si="328"/>
        <v>publishing</v>
      </c>
      <c r="R2778" t="str">
        <f t="shared" si="329"/>
        <v>children's books</v>
      </c>
      <c r="S2778" s="9">
        <f t="shared" si="332"/>
        <v>42136.088842592588</v>
      </c>
      <c r="T2778" s="9">
        <f t="shared" si="333"/>
        <v>42167.088842592588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30"/>
        <v>3.3333333333333335E-3</v>
      </c>
      <c r="P2779">
        <f t="shared" si="331"/>
        <v>1505</v>
      </c>
      <c r="Q2779" t="str">
        <f t="shared" si="328"/>
        <v>publishing</v>
      </c>
      <c r="R2779" t="str">
        <f t="shared" si="329"/>
        <v>children's books</v>
      </c>
      <c r="S2779" s="9">
        <f t="shared" si="332"/>
        <v>42172.460694444446</v>
      </c>
      <c r="T2779" s="9">
        <f t="shared" si="333"/>
        <v>42202.460694444446</v>
      </c>
    </row>
    <row r="2780" spans="1:20" ht="43.5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30"/>
        <v>0.25545454545454543</v>
      </c>
      <c r="P2780">
        <f t="shared" si="331"/>
        <v>3452.5</v>
      </c>
      <c r="Q2780" t="str">
        <f t="shared" si="328"/>
        <v>publishing</v>
      </c>
      <c r="R2780" t="str">
        <f t="shared" si="329"/>
        <v>children's books</v>
      </c>
      <c r="S2780" s="9">
        <f t="shared" si="332"/>
        <v>41846.769745370366</v>
      </c>
      <c r="T2780" s="9">
        <f t="shared" si="333"/>
        <v>41876.769745370366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30"/>
        <v>2.12E-2</v>
      </c>
      <c r="P2781">
        <f t="shared" si="331"/>
        <v>1276.5</v>
      </c>
      <c r="Q2781" t="str">
        <f t="shared" si="328"/>
        <v>publishing</v>
      </c>
      <c r="R2781" t="str">
        <f t="shared" si="329"/>
        <v>children's books</v>
      </c>
      <c r="S2781" s="9">
        <f t="shared" si="332"/>
        <v>42300.377557870372</v>
      </c>
      <c r="T2781" s="9">
        <f t="shared" si="333"/>
        <v>42330.419224537036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30"/>
        <v>0</v>
      </c>
      <c r="P2782">
        <f t="shared" si="331"/>
        <v>50000</v>
      </c>
      <c r="Q2782" t="str">
        <f t="shared" si="328"/>
        <v>publishing</v>
      </c>
      <c r="R2782" t="str">
        <f t="shared" si="329"/>
        <v>children's books</v>
      </c>
      <c r="S2782" s="9">
        <f t="shared" si="332"/>
        <v>42774.239444444444</v>
      </c>
      <c r="T2782" s="9">
        <f t="shared" si="333"/>
        <v>42804.239444444444</v>
      </c>
    </row>
    <row r="2783" spans="1:20" ht="29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30"/>
        <v>1.0528</v>
      </c>
      <c r="P2783">
        <f t="shared" si="331"/>
        <v>1283</v>
      </c>
      <c r="Q2783" t="str">
        <f>IF(N2783="theater/plays","theater")</f>
        <v>theater</v>
      </c>
      <c r="R2783" t="str">
        <f>IF(N2783="theater/plays","plays")</f>
        <v>plays</v>
      </c>
      <c r="S2783" s="9">
        <f t="shared" si="332"/>
        <v>42018.733263888884</v>
      </c>
      <c r="T2783" s="9">
        <f t="shared" si="333"/>
        <v>42047.083333333336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30"/>
        <v>1.2</v>
      </c>
      <c r="P2784">
        <f t="shared" si="331"/>
        <v>1100</v>
      </c>
      <c r="Q2784" t="str">
        <f t="shared" ref="Q2784:Q2847" si="334">IF(N2784="theater/plays","theater")</f>
        <v>theater</v>
      </c>
      <c r="R2784" t="str">
        <f t="shared" ref="R2784:R2847" si="335">IF(N2784="theater/plays","plays")</f>
        <v>plays</v>
      </c>
      <c r="S2784" s="9">
        <f t="shared" si="332"/>
        <v>42026.716643518514</v>
      </c>
      <c r="T2784" s="9">
        <f t="shared" si="333"/>
        <v>42051.999305555553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30"/>
        <v>1.145</v>
      </c>
      <c r="P2785">
        <f t="shared" si="331"/>
        <v>1072.5</v>
      </c>
      <c r="Q2785" t="str">
        <f t="shared" si="334"/>
        <v>theater</v>
      </c>
      <c r="R2785" t="str">
        <f t="shared" si="335"/>
        <v>plays</v>
      </c>
      <c r="S2785" s="9">
        <f t="shared" si="332"/>
        <v>42103.326921296299</v>
      </c>
      <c r="T2785" s="9">
        <f t="shared" si="333"/>
        <v>42117.326921296299</v>
      </c>
    </row>
    <row r="2786" spans="1:20" ht="29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30"/>
        <v>1.19</v>
      </c>
      <c r="P2786">
        <f t="shared" si="331"/>
        <v>6570</v>
      </c>
      <c r="Q2786" t="str">
        <f t="shared" si="334"/>
        <v>theater</v>
      </c>
      <c r="R2786" t="str">
        <f t="shared" si="335"/>
        <v>plays</v>
      </c>
      <c r="S2786" s="9">
        <f t="shared" si="332"/>
        <v>41920.579201388886</v>
      </c>
      <c r="T2786" s="9">
        <f t="shared" si="333"/>
        <v>41941.579201388886</v>
      </c>
    </row>
    <row r="2787" spans="1:20" ht="29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30"/>
        <v>1.0468</v>
      </c>
      <c r="P2787">
        <f t="shared" si="331"/>
        <v>5117</v>
      </c>
      <c r="Q2787" t="str">
        <f t="shared" si="334"/>
        <v>theater</v>
      </c>
      <c r="R2787" t="str">
        <f t="shared" si="335"/>
        <v>plays</v>
      </c>
      <c r="S2787" s="9">
        <f t="shared" si="332"/>
        <v>42557.981099537035</v>
      </c>
      <c r="T2787" s="9">
        <f t="shared" si="333"/>
        <v>42587.666666666664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30"/>
        <v>1.1783999999999999</v>
      </c>
      <c r="P2788">
        <f t="shared" si="331"/>
        <v>2723</v>
      </c>
      <c r="Q2788" t="str">
        <f t="shared" si="334"/>
        <v>theater</v>
      </c>
      <c r="R2788" t="str">
        <f t="shared" si="335"/>
        <v>plays</v>
      </c>
      <c r="S2788" s="9">
        <f t="shared" si="332"/>
        <v>41815.360879629625</v>
      </c>
      <c r="T2788" s="9">
        <f t="shared" si="333"/>
        <v>41829.360879629625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30"/>
        <v>1.1970000000000001</v>
      </c>
      <c r="P2789">
        <f t="shared" si="331"/>
        <v>1098.5</v>
      </c>
      <c r="Q2789" t="str">
        <f t="shared" si="334"/>
        <v>theater</v>
      </c>
      <c r="R2789" t="str">
        <f t="shared" si="335"/>
        <v>plays</v>
      </c>
      <c r="S2789" s="9">
        <f t="shared" si="332"/>
        <v>41807.990185185183</v>
      </c>
      <c r="T2789" s="9">
        <f t="shared" si="333"/>
        <v>41837.990185185183</v>
      </c>
    </row>
    <row r="2790" spans="1:20" ht="29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30"/>
        <v>1.0249999999999999</v>
      </c>
      <c r="P2790">
        <f t="shared" si="331"/>
        <v>2025</v>
      </c>
      <c r="Q2790" t="str">
        <f t="shared" si="334"/>
        <v>theater</v>
      </c>
      <c r="R2790" t="str">
        <f t="shared" si="335"/>
        <v>plays</v>
      </c>
      <c r="S2790" s="9">
        <f t="shared" si="332"/>
        <v>42550.49355324074</v>
      </c>
      <c r="T2790" s="9">
        <f t="shared" si="333"/>
        <v>42580.49355324074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30"/>
        <v>1.0116666666666667</v>
      </c>
      <c r="P2791">
        <f t="shared" si="331"/>
        <v>3017.5</v>
      </c>
      <c r="Q2791" t="str">
        <f t="shared" si="334"/>
        <v>theater</v>
      </c>
      <c r="R2791" t="str">
        <f t="shared" si="335"/>
        <v>plays</v>
      </c>
      <c r="S2791" s="9">
        <f t="shared" si="332"/>
        <v>42055.804791666662</v>
      </c>
      <c r="T2791" s="9">
        <f t="shared" si="333"/>
        <v>42074.958333333336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30"/>
        <v>1.0533333333333332</v>
      </c>
      <c r="P2792">
        <f t="shared" si="331"/>
        <v>3080</v>
      </c>
      <c r="Q2792" t="str">
        <f t="shared" si="334"/>
        <v>theater</v>
      </c>
      <c r="R2792" t="str">
        <f t="shared" si="335"/>
        <v>plays</v>
      </c>
      <c r="S2792" s="9">
        <f t="shared" si="332"/>
        <v>42016.730358796289</v>
      </c>
      <c r="T2792" s="9">
        <f t="shared" si="333"/>
        <v>42046.730358796289</v>
      </c>
    </row>
    <row r="2793" spans="1:20" ht="43.5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30"/>
        <v>1.0249999999999999</v>
      </c>
      <c r="P2793">
        <f t="shared" si="331"/>
        <v>2025</v>
      </c>
      <c r="Q2793" t="str">
        <f t="shared" si="334"/>
        <v>theater</v>
      </c>
      <c r="R2793" t="str">
        <f t="shared" si="335"/>
        <v>plays</v>
      </c>
      <c r="S2793" s="9">
        <f t="shared" si="332"/>
        <v>42591.691655092589</v>
      </c>
      <c r="T2793" s="9">
        <f t="shared" si="333"/>
        <v>42621.958333333336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30"/>
        <v>1.0760000000000001</v>
      </c>
      <c r="P2794">
        <f t="shared" si="331"/>
        <v>2076</v>
      </c>
      <c r="Q2794" t="str">
        <f t="shared" si="334"/>
        <v>theater</v>
      </c>
      <c r="R2794" t="str">
        <f t="shared" si="335"/>
        <v>plays</v>
      </c>
      <c r="S2794" s="9">
        <f t="shared" si="332"/>
        <v>42183.022673611107</v>
      </c>
      <c r="T2794" s="9">
        <f t="shared" si="333"/>
        <v>42228.022673611107</v>
      </c>
    </row>
    <row r="2795" spans="1:20" ht="43.5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30"/>
        <v>1.105675</v>
      </c>
      <c r="P2795">
        <f t="shared" si="331"/>
        <v>10528.375</v>
      </c>
      <c r="Q2795" t="str">
        <f t="shared" si="334"/>
        <v>theater</v>
      </c>
      <c r="R2795" t="str">
        <f t="shared" si="335"/>
        <v>plays</v>
      </c>
      <c r="S2795" s="9">
        <f t="shared" si="332"/>
        <v>42176.210706018515</v>
      </c>
      <c r="T2795" s="9">
        <f t="shared" si="333"/>
        <v>42206.210706018515</v>
      </c>
    </row>
    <row r="2796" spans="1:20" ht="43.5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30"/>
        <v>1.5</v>
      </c>
      <c r="P2796">
        <f t="shared" si="331"/>
        <v>62.5</v>
      </c>
      <c r="Q2796" t="str">
        <f t="shared" si="334"/>
        <v>theater</v>
      </c>
      <c r="R2796" t="str">
        <f t="shared" si="335"/>
        <v>plays</v>
      </c>
      <c r="S2796" s="9">
        <f t="shared" si="332"/>
        <v>42416.48332175926</v>
      </c>
      <c r="T2796" s="9">
        <f t="shared" si="333"/>
        <v>42432.583333333336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30"/>
        <v>1.0428571428571429</v>
      </c>
      <c r="P2797">
        <f t="shared" si="331"/>
        <v>715</v>
      </c>
      <c r="Q2797" t="str">
        <f t="shared" si="334"/>
        <v>theater</v>
      </c>
      <c r="R2797" t="str">
        <f t="shared" si="335"/>
        <v>plays</v>
      </c>
      <c r="S2797" s="9">
        <f t="shared" si="332"/>
        <v>41780.317604166667</v>
      </c>
      <c r="T2797" s="9">
        <f t="shared" si="333"/>
        <v>41796.75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30"/>
        <v>1.155</v>
      </c>
      <c r="P2798">
        <f t="shared" si="331"/>
        <v>862</v>
      </c>
      <c r="Q2798" t="str">
        <f t="shared" si="334"/>
        <v>theater</v>
      </c>
      <c r="R2798" t="str">
        <f t="shared" si="335"/>
        <v>plays</v>
      </c>
      <c r="S2798" s="9">
        <f t="shared" si="332"/>
        <v>41795.319768518515</v>
      </c>
      <c r="T2798" s="9">
        <f t="shared" si="333"/>
        <v>41825.319768518515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30"/>
        <v>1.02645125</v>
      </c>
      <c r="P2799">
        <f t="shared" si="331"/>
        <v>8105.8050000000003</v>
      </c>
      <c r="Q2799" t="str">
        <f t="shared" si="334"/>
        <v>theater</v>
      </c>
      <c r="R2799" t="str">
        <f t="shared" si="335"/>
        <v>plays</v>
      </c>
      <c r="S2799" s="9">
        <f t="shared" si="332"/>
        <v>41798.731944444444</v>
      </c>
      <c r="T2799" s="9">
        <f t="shared" si="333"/>
        <v>41828.731944444444</v>
      </c>
    </row>
    <row r="2800" spans="1:20" ht="43.5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30"/>
        <v>1.014</v>
      </c>
      <c r="P2800">
        <f t="shared" si="331"/>
        <v>5035</v>
      </c>
      <c r="Q2800" t="str">
        <f t="shared" si="334"/>
        <v>theater</v>
      </c>
      <c r="R2800" t="str">
        <f t="shared" si="335"/>
        <v>plays</v>
      </c>
      <c r="S2800" s="9">
        <f t="shared" si="332"/>
        <v>42201.466678240737</v>
      </c>
      <c r="T2800" s="9">
        <f t="shared" si="333"/>
        <v>42216.458333333336</v>
      </c>
    </row>
    <row r="2801" spans="1:20" ht="43.5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30"/>
        <v>1.1663479999999999</v>
      </c>
      <c r="P2801">
        <f t="shared" si="331"/>
        <v>5415.87</v>
      </c>
      <c r="Q2801" t="str">
        <f t="shared" si="334"/>
        <v>theater</v>
      </c>
      <c r="R2801" t="str">
        <f t="shared" si="335"/>
        <v>plays</v>
      </c>
      <c r="S2801" s="9">
        <f t="shared" si="332"/>
        <v>42507.05636574074</v>
      </c>
      <c r="T2801" s="9">
        <f t="shared" si="333"/>
        <v>42538.458333333336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30"/>
        <v>1.33</v>
      </c>
      <c r="P2802">
        <f t="shared" si="331"/>
        <v>1165</v>
      </c>
      <c r="Q2802" t="str">
        <f t="shared" si="334"/>
        <v>theater</v>
      </c>
      <c r="R2802" t="str">
        <f t="shared" si="335"/>
        <v>plays</v>
      </c>
      <c r="S2802" s="9">
        <f t="shared" si="332"/>
        <v>41948.344513888886</v>
      </c>
      <c r="T2802" s="9">
        <f t="shared" si="333"/>
        <v>42008.344513888886</v>
      </c>
    </row>
    <row r="2803" spans="1:20" ht="29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30"/>
        <v>1.3320000000000001</v>
      </c>
      <c r="P2803">
        <f t="shared" si="331"/>
        <v>583</v>
      </c>
      <c r="Q2803" t="str">
        <f t="shared" si="334"/>
        <v>theater</v>
      </c>
      <c r="R2803" t="str">
        <f t="shared" si="335"/>
        <v>plays</v>
      </c>
      <c r="S2803" s="9">
        <f t="shared" si="332"/>
        <v>41900.034826388888</v>
      </c>
      <c r="T2803" s="9">
        <f t="shared" si="333"/>
        <v>41922.25</v>
      </c>
    </row>
    <row r="2804" spans="1:20" ht="43.5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30"/>
        <v>1.0183333333333333</v>
      </c>
      <c r="P2804">
        <f t="shared" si="331"/>
        <v>3027.5</v>
      </c>
      <c r="Q2804" t="str">
        <f t="shared" si="334"/>
        <v>theater</v>
      </c>
      <c r="R2804" t="str">
        <f t="shared" si="335"/>
        <v>plays</v>
      </c>
      <c r="S2804" s="9">
        <f t="shared" si="332"/>
        <v>42192.438738425924</v>
      </c>
      <c r="T2804" s="9">
        <f t="shared" si="333"/>
        <v>42222.438738425924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30"/>
        <v>1.2795000000000001</v>
      </c>
      <c r="P2805">
        <f t="shared" si="331"/>
        <v>11397.5</v>
      </c>
      <c r="Q2805" t="str">
        <f t="shared" si="334"/>
        <v>theater</v>
      </c>
      <c r="R2805" t="str">
        <f t="shared" si="335"/>
        <v>plays</v>
      </c>
      <c r="S2805" s="9">
        <f t="shared" si="332"/>
        <v>42157.857361111113</v>
      </c>
      <c r="T2805" s="9">
        <f t="shared" si="333"/>
        <v>42200.791666666664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30"/>
        <v>1.1499999999999999</v>
      </c>
      <c r="P2806">
        <f t="shared" si="331"/>
        <v>1075</v>
      </c>
      <c r="Q2806" t="str">
        <f t="shared" si="334"/>
        <v>theater</v>
      </c>
      <c r="R2806" t="str">
        <f t="shared" si="335"/>
        <v>plays</v>
      </c>
      <c r="S2806" s="9">
        <f t="shared" si="332"/>
        <v>41881.245254629626</v>
      </c>
      <c r="T2806" s="9">
        <f t="shared" si="333"/>
        <v>41911.245254629626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30"/>
        <v>1.1000000000000001</v>
      </c>
      <c r="P2807">
        <f t="shared" si="331"/>
        <v>420</v>
      </c>
      <c r="Q2807" t="str">
        <f t="shared" si="334"/>
        <v>theater</v>
      </c>
      <c r="R2807" t="str">
        <f t="shared" si="335"/>
        <v>plays</v>
      </c>
      <c r="S2807" s="9">
        <f t="shared" si="332"/>
        <v>42213.2971412037</v>
      </c>
      <c r="T2807" s="9">
        <f t="shared" si="333"/>
        <v>42238.2971412037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30"/>
        <v>1.121</v>
      </c>
      <c r="P2808">
        <f t="shared" si="331"/>
        <v>3181.5</v>
      </c>
      <c r="Q2808" t="str">
        <f t="shared" si="334"/>
        <v>theater</v>
      </c>
      <c r="R2808" t="str">
        <f t="shared" si="335"/>
        <v>plays</v>
      </c>
      <c r="S2808" s="9">
        <f t="shared" si="332"/>
        <v>42185.058912037035</v>
      </c>
      <c r="T2808" s="9">
        <f t="shared" si="333"/>
        <v>42221.249999999993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30"/>
        <v>1.26</v>
      </c>
      <c r="P2809">
        <f t="shared" si="331"/>
        <v>5650</v>
      </c>
      <c r="Q2809" t="str">
        <f t="shared" si="334"/>
        <v>theater</v>
      </c>
      <c r="R2809" t="str">
        <f t="shared" si="335"/>
        <v>plays</v>
      </c>
      <c r="S2809" s="9">
        <f t="shared" si="332"/>
        <v>42154.664791666662</v>
      </c>
      <c r="T2809" s="9">
        <f t="shared" si="333"/>
        <v>42184.664791666662</v>
      </c>
    </row>
    <row r="2810" spans="1:20" ht="43.5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30"/>
        <v>1.0024444444444445</v>
      </c>
      <c r="P2810">
        <f t="shared" si="331"/>
        <v>4505.5</v>
      </c>
      <c r="Q2810" t="str">
        <f t="shared" si="334"/>
        <v>theater</v>
      </c>
      <c r="R2810" t="str">
        <f t="shared" si="335"/>
        <v>plays</v>
      </c>
      <c r="S2810" s="9">
        <f t="shared" si="332"/>
        <v>42208.638136574074</v>
      </c>
      <c r="T2810" s="9">
        <f t="shared" si="333"/>
        <v>42238.638136574074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30"/>
        <v>1.024</v>
      </c>
      <c r="P2811">
        <f t="shared" si="331"/>
        <v>2530</v>
      </c>
      <c r="Q2811" t="str">
        <f t="shared" si="334"/>
        <v>theater</v>
      </c>
      <c r="R2811" t="str">
        <f t="shared" si="335"/>
        <v>plays</v>
      </c>
      <c r="S2811" s="9">
        <f t="shared" si="332"/>
        <v>42451.288483796299</v>
      </c>
      <c r="T2811" s="9">
        <f t="shared" si="333"/>
        <v>42459.402083333327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30"/>
        <v>1.0820000000000001</v>
      </c>
      <c r="P2812">
        <f t="shared" si="331"/>
        <v>2602.5</v>
      </c>
      <c r="Q2812" t="str">
        <f t="shared" si="334"/>
        <v>theater</v>
      </c>
      <c r="R2812" t="str">
        <f t="shared" si="335"/>
        <v>plays</v>
      </c>
      <c r="S2812" s="9">
        <f t="shared" si="332"/>
        <v>41758.931296296294</v>
      </c>
      <c r="T2812" s="9">
        <f t="shared" si="333"/>
        <v>41790.957638888889</v>
      </c>
    </row>
    <row r="2813" spans="1:20" ht="29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30"/>
        <v>1.0026999999999999</v>
      </c>
      <c r="P2813">
        <f t="shared" si="331"/>
        <v>10013.5</v>
      </c>
      <c r="Q2813" t="str">
        <f t="shared" si="334"/>
        <v>theater</v>
      </c>
      <c r="R2813" t="str">
        <f t="shared" si="335"/>
        <v>plays</v>
      </c>
      <c r="S2813" s="9">
        <f t="shared" si="332"/>
        <v>42028.288229166668</v>
      </c>
      <c r="T2813" s="9">
        <f t="shared" si="333"/>
        <v>42058.288229166668</v>
      </c>
    </row>
    <row r="2814" spans="1:20" ht="29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30"/>
        <v>1.133</v>
      </c>
      <c r="P2814">
        <f t="shared" si="331"/>
        <v>5332.5</v>
      </c>
      <c r="Q2814" t="str">
        <f t="shared" si="334"/>
        <v>theater</v>
      </c>
      <c r="R2814" t="str">
        <f t="shared" si="335"/>
        <v>plays</v>
      </c>
      <c r="S2814" s="9">
        <f t="shared" si="332"/>
        <v>42054.535856481474</v>
      </c>
      <c r="T2814" s="9">
        <f t="shared" si="333"/>
        <v>42099.958333333336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30"/>
        <v>1.2757571428571428</v>
      </c>
      <c r="P2815">
        <f t="shared" si="331"/>
        <v>3186.06</v>
      </c>
      <c r="Q2815" t="str">
        <f t="shared" si="334"/>
        <v>theater</v>
      </c>
      <c r="R2815" t="str">
        <f t="shared" si="335"/>
        <v>plays</v>
      </c>
      <c r="S2815" s="9">
        <f t="shared" si="332"/>
        <v>42693.534270833326</v>
      </c>
      <c r="T2815" s="9">
        <f t="shared" si="333"/>
        <v>42718.534270833326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30"/>
        <v>1.0773333333333333</v>
      </c>
      <c r="P2816">
        <f t="shared" si="331"/>
        <v>1558</v>
      </c>
      <c r="Q2816" t="str">
        <f t="shared" si="334"/>
        <v>theater</v>
      </c>
      <c r="R2816" t="str">
        <f t="shared" si="335"/>
        <v>plays</v>
      </c>
      <c r="S2816" s="9">
        <f t="shared" si="332"/>
        <v>42103.191145833327</v>
      </c>
      <c r="T2816" s="9">
        <f t="shared" si="333"/>
        <v>42133.191145833327</v>
      </c>
    </row>
    <row r="2817" spans="1:20" ht="29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30"/>
        <v>2.42</v>
      </c>
      <c r="P2817">
        <f t="shared" si="331"/>
        <v>427.5</v>
      </c>
      <c r="Q2817" t="str">
        <f t="shared" si="334"/>
        <v>theater</v>
      </c>
      <c r="R2817" t="str">
        <f t="shared" si="335"/>
        <v>plays</v>
      </c>
      <c r="S2817" s="9">
        <f t="shared" si="332"/>
        <v>42559.568391203698</v>
      </c>
      <c r="T2817" s="9">
        <f t="shared" si="333"/>
        <v>42589.568391203698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30"/>
        <v>1.4156666666666666</v>
      </c>
      <c r="P2818">
        <f t="shared" si="331"/>
        <v>3623.5</v>
      </c>
      <c r="Q2818" t="str">
        <f t="shared" si="334"/>
        <v>theater</v>
      </c>
      <c r="R2818" t="str">
        <f t="shared" si="335"/>
        <v>plays</v>
      </c>
      <c r="S2818" s="9">
        <f t="shared" si="332"/>
        <v>42188.259166666663</v>
      </c>
      <c r="T2818" s="9">
        <f t="shared" si="333"/>
        <v>42218.458333333336</v>
      </c>
    </row>
    <row r="2819" spans="1:20" ht="43.5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36">E2819/D2819</f>
        <v>1.3</v>
      </c>
      <c r="P2819">
        <f t="shared" ref="P2819:P2882" si="337">AVERAGE(D2819:E2819)</f>
        <v>690</v>
      </c>
      <c r="Q2819" t="str">
        <f t="shared" si="334"/>
        <v>theater</v>
      </c>
      <c r="R2819" t="str">
        <f t="shared" si="335"/>
        <v>plays</v>
      </c>
      <c r="S2819" s="9">
        <f t="shared" ref="S2819:S2882" si="338">J2819/86400+25569+(-5/24)</f>
        <v>42023.42664351852</v>
      </c>
      <c r="T2819" s="9">
        <f t="shared" si="333"/>
        <v>42063.42664351852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36"/>
        <v>1.0603</v>
      </c>
      <c r="P2820">
        <f t="shared" si="337"/>
        <v>10301.5</v>
      </c>
      <c r="Q2820" t="str">
        <f t="shared" si="334"/>
        <v>theater</v>
      </c>
      <c r="R2820" t="str">
        <f t="shared" si="335"/>
        <v>plays</v>
      </c>
      <c r="S2820" s="9">
        <f t="shared" si="338"/>
        <v>42250.389884259253</v>
      </c>
      <c r="T2820" s="9">
        <f t="shared" ref="T2820:T2883" si="339">I2820/86400+25569+(-5/24)</f>
        <v>42270.389884259253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36"/>
        <v>1.048</v>
      </c>
      <c r="P2821">
        <f t="shared" si="337"/>
        <v>5120</v>
      </c>
      <c r="Q2821" t="str">
        <f t="shared" si="334"/>
        <v>theater</v>
      </c>
      <c r="R2821" t="str">
        <f t="shared" si="335"/>
        <v>plays</v>
      </c>
      <c r="S2821" s="9">
        <f t="shared" si="338"/>
        <v>42139.317233796297</v>
      </c>
      <c r="T2821" s="9">
        <f t="shared" si="339"/>
        <v>42169.317233796297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36"/>
        <v>1.36</v>
      </c>
      <c r="P2822">
        <f t="shared" si="337"/>
        <v>236</v>
      </c>
      <c r="Q2822" t="str">
        <f t="shared" si="334"/>
        <v>theater</v>
      </c>
      <c r="R2822" t="str">
        <f t="shared" si="335"/>
        <v>plays</v>
      </c>
      <c r="S2822" s="9">
        <f t="shared" si="338"/>
        <v>42401.402650462966</v>
      </c>
      <c r="T2822" s="9">
        <f t="shared" si="339"/>
        <v>42425.791666666664</v>
      </c>
    </row>
    <row r="2823" spans="1:20" ht="43.5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36"/>
        <v>1</v>
      </c>
      <c r="P2823">
        <f t="shared" si="337"/>
        <v>1000</v>
      </c>
      <c r="Q2823" t="str">
        <f t="shared" si="334"/>
        <v>theater</v>
      </c>
      <c r="R2823" t="str">
        <f t="shared" si="335"/>
        <v>plays</v>
      </c>
      <c r="S2823" s="9">
        <f t="shared" si="338"/>
        <v>41875.714525462965</v>
      </c>
      <c r="T2823" s="9">
        <f t="shared" si="339"/>
        <v>41905.714525462965</v>
      </c>
    </row>
    <row r="2824" spans="1:20" ht="43.5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36"/>
        <v>1</v>
      </c>
      <c r="P2824">
        <f t="shared" si="337"/>
        <v>6000</v>
      </c>
      <c r="Q2824" t="str">
        <f t="shared" si="334"/>
        <v>theater</v>
      </c>
      <c r="R2824" t="str">
        <f t="shared" si="335"/>
        <v>plays</v>
      </c>
      <c r="S2824" s="9">
        <f t="shared" si="338"/>
        <v>42060.475601851846</v>
      </c>
      <c r="T2824" s="9">
        <f t="shared" si="339"/>
        <v>42090.433935185181</v>
      </c>
    </row>
    <row r="2825" spans="1:20" ht="43.5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36"/>
        <v>1.24</v>
      </c>
      <c r="P2825">
        <f t="shared" si="337"/>
        <v>112</v>
      </c>
      <c r="Q2825" t="str">
        <f t="shared" si="334"/>
        <v>theater</v>
      </c>
      <c r="R2825" t="str">
        <f t="shared" si="335"/>
        <v>plays</v>
      </c>
      <c r="S2825" s="9">
        <f t="shared" si="338"/>
        <v>42066.803310185183</v>
      </c>
      <c r="T2825" s="9">
        <f t="shared" si="339"/>
        <v>42094.749305555553</v>
      </c>
    </row>
    <row r="2826" spans="1:20" ht="29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36"/>
        <v>1.1692307692307693</v>
      </c>
      <c r="P2826">
        <f t="shared" si="337"/>
        <v>705</v>
      </c>
      <c r="Q2826" t="str">
        <f t="shared" si="334"/>
        <v>theater</v>
      </c>
      <c r="R2826" t="str">
        <f t="shared" si="335"/>
        <v>plays</v>
      </c>
      <c r="S2826" s="9">
        <f t="shared" si="338"/>
        <v>42136.0624537037</v>
      </c>
      <c r="T2826" s="9">
        <f t="shared" si="339"/>
        <v>42167.863194444442</v>
      </c>
    </row>
    <row r="2827" spans="1:20" ht="43.5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36"/>
        <v>1.0333333333333334</v>
      </c>
      <c r="P2827">
        <f t="shared" si="337"/>
        <v>3050</v>
      </c>
      <c r="Q2827" t="str">
        <f t="shared" si="334"/>
        <v>theater</v>
      </c>
      <c r="R2827" t="str">
        <f t="shared" si="335"/>
        <v>plays</v>
      </c>
      <c r="S2827" s="9">
        <f t="shared" si="338"/>
        <v>42312.584328703706</v>
      </c>
      <c r="T2827" s="9">
        <f t="shared" si="339"/>
        <v>42342.584328703706</v>
      </c>
    </row>
    <row r="2828" spans="1:20" ht="43.5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36"/>
        <v>1.0774999999999999</v>
      </c>
      <c r="P2828">
        <f t="shared" si="337"/>
        <v>2077.5</v>
      </c>
      <c r="Q2828" t="str">
        <f t="shared" si="334"/>
        <v>theater</v>
      </c>
      <c r="R2828" t="str">
        <f t="shared" si="335"/>
        <v>plays</v>
      </c>
      <c r="S2828" s="9">
        <f t="shared" si="338"/>
        <v>42170.826527777775</v>
      </c>
      <c r="T2828" s="9">
        <f t="shared" si="339"/>
        <v>42195.083333333336</v>
      </c>
    </row>
    <row r="2829" spans="1:20" ht="43.5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36"/>
        <v>1.2024999999999999</v>
      </c>
      <c r="P2829">
        <f t="shared" si="337"/>
        <v>2202.5</v>
      </c>
      <c r="Q2829" t="str">
        <f t="shared" si="334"/>
        <v>theater</v>
      </c>
      <c r="R2829" t="str">
        <f t="shared" si="335"/>
        <v>plays</v>
      </c>
      <c r="S2829" s="9">
        <f t="shared" si="338"/>
        <v>42494.475300925922</v>
      </c>
      <c r="T2829" s="9">
        <f t="shared" si="339"/>
        <v>42524.479166666664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36"/>
        <v>1.0037894736842106</v>
      </c>
      <c r="P2830">
        <f t="shared" si="337"/>
        <v>9518</v>
      </c>
      <c r="Q2830" t="str">
        <f t="shared" si="334"/>
        <v>theater</v>
      </c>
      <c r="R2830" t="str">
        <f t="shared" si="335"/>
        <v>plays</v>
      </c>
      <c r="S2830" s="9">
        <f t="shared" si="338"/>
        <v>42254.056354166663</v>
      </c>
      <c r="T2830" s="9">
        <f t="shared" si="339"/>
        <v>42279.749999999993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36"/>
        <v>1.0651999999999999</v>
      </c>
      <c r="P2831">
        <f t="shared" si="337"/>
        <v>2581.5</v>
      </c>
      <c r="Q2831" t="str">
        <f t="shared" si="334"/>
        <v>theater</v>
      </c>
      <c r="R2831" t="str">
        <f t="shared" si="335"/>
        <v>plays</v>
      </c>
      <c r="S2831" s="9">
        <f t="shared" si="338"/>
        <v>42495.225902777776</v>
      </c>
      <c r="T2831" s="9">
        <f t="shared" si="339"/>
        <v>42523.225902777776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36"/>
        <v>1</v>
      </c>
      <c r="P2832">
        <f t="shared" si="337"/>
        <v>3000</v>
      </c>
      <c r="Q2832" t="str">
        <f t="shared" si="334"/>
        <v>theater</v>
      </c>
      <c r="R2832" t="str">
        <f t="shared" si="335"/>
        <v>plays</v>
      </c>
      <c r="S2832" s="9">
        <f t="shared" si="338"/>
        <v>41758.631342592591</v>
      </c>
      <c r="T2832" s="9">
        <f t="shared" si="339"/>
        <v>41770.957638888889</v>
      </c>
    </row>
    <row r="2833" spans="1:20" ht="29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36"/>
        <v>1.1066666666666667</v>
      </c>
      <c r="P2833">
        <f t="shared" si="337"/>
        <v>3160</v>
      </c>
      <c r="Q2833" t="str">
        <f t="shared" si="334"/>
        <v>theater</v>
      </c>
      <c r="R2833" t="str">
        <f t="shared" si="335"/>
        <v>plays</v>
      </c>
      <c r="S2833" s="9">
        <f t="shared" si="338"/>
        <v>42171.616550925923</v>
      </c>
      <c r="T2833" s="9">
        <f t="shared" si="339"/>
        <v>42201.616550925923</v>
      </c>
    </row>
    <row r="2834" spans="1:20" ht="43.5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36"/>
        <v>1.1471959999999999</v>
      </c>
      <c r="P2834">
        <f t="shared" si="337"/>
        <v>2683.9949999999999</v>
      </c>
      <c r="Q2834" t="str">
        <f t="shared" si="334"/>
        <v>theater</v>
      </c>
      <c r="R2834" t="str">
        <f t="shared" si="335"/>
        <v>plays</v>
      </c>
      <c r="S2834" s="9">
        <f t="shared" si="338"/>
        <v>41938.501087962963</v>
      </c>
      <c r="T2834" s="9">
        <f t="shared" si="339"/>
        <v>41966.708333333336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36"/>
        <v>1.0825925925925926</v>
      </c>
      <c r="P2835">
        <f t="shared" si="337"/>
        <v>2811.5</v>
      </c>
      <c r="Q2835" t="str">
        <f t="shared" si="334"/>
        <v>theater</v>
      </c>
      <c r="R2835" t="str">
        <f t="shared" si="335"/>
        <v>plays</v>
      </c>
      <c r="S2835" s="9">
        <f t="shared" si="338"/>
        <v>42267.919363425921</v>
      </c>
      <c r="T2835" s="9">
        <f t="shared" si="339"/>
        <v>42287.874999999993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36"/>
        <v>1.7</v>
      </c>
      <c r="P2836">
        <f t="shared" si="337"/>
        <v>1080</v>
      </c>
      <c r="Q2836" t="str">
        <f t="shared" si="334"/>
        <v>theater</v>
      </c>
      <c r="R2836" t="str">
        <f t="shared" si="335"/>
        <v>plays</v>
      </c>
      <c r="S2836" s="9">
        <f t="shared" si="338"/>
        <v>42019.751504629625</v>
      </c>
      <c r="T2836" s="9">
        <f t="shared" si="339"/>
        <v>42034.751504629625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36"/>
        <v>1.8709899999999999</v>
      </c>
      <c r="P2837">
        <f t="shared" si="337"/>
        <v>1435.4949999999999</v>
      </c>
      <c r="Q2837" t="str">
        <f t="shared" si="334"/>
        <v>theater</v>
      </c>
      <c r="R2837" t="str">
        <f t="shared" si="335"/>
        <v>plays</v>
      </c>
      <c r="S2837" s="9">
        <f t="shared" si="338"/>
        <v>42313.495567129627</v>
      </c>
      <c r="T2837" s="9">
        <f t="shared" si="339"/>
        <v>42342.791666666664</v>
      </c>
    </row>
    <row r="2838" spans="1:20" ht="43.5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36"/>
        <v>1.0777777777777777</v>
      </c>
      <c r="P2838">
        <f t="shared" si="337"/>
        <v>467.5</v>
      </c>
      <c r="Q2838" t="str">
        <f t="shared" si="334"/>
        <v>theater</v>
      </c>
      <c r="R2838" t="str">
        <f t="shared" si="335"/>
        <v>plays</v>
      </c>
      <c r="S2838" s="9">
        <f t="shared" si="338"/>
        <v>42746.053449074076</v>
      </c>
      <c r="T2838" s="9">
        <f t="shared" si="339"/>
        <v>42783.999305555553</v>
      </c>
    </row>
    <row r="2839" spans="1:20" ht="43.5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36"/>
        <v>1</v>
      </c>
      <c r="P2839">
        <f t="shared" si="337"/>
        <v>850</v>
      </c>
      <c r="Q2839" t="str">
        <f t="shared" si="334"/>
        <v>theater</v>
      </c>
      <c r="R2839" t="str">
        <f t="shared" si="335"/>
        <v>plays</v>
      </c>
      <c r="S2839" s="9">
        <f t="shared" si="338"/>
        <v>42307.700046296297</v>
      </c>
      <c r="T2839" s="9">
        <f t="shared" si="339"/>
        <v>42347.741712962961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36"/>
        <v>1.2024999999999999</v>
      </c>
      <c r="P2840">
        <f t="shared" si="337"/>
        <v>2202.5</v>
      </c>
      <c r="Q2840" t="str">
        <f t="shared" si="334"/>
        <v>theater</v>
      </c>
      <c r="R2840" t="str">
        <f t="shared" si="335"/>
        <v>plays</v>
      </c>
      <c r="S2840" s="9">
        <f t="shared" si="338"/>
        <v>41842.399259259255</v>
      </c>
      <c r="T2840" s="9">
        <f t="shared" si="339"/>
        <v>41864.708333333328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36"/>
        <v>1.1142857142857143</v>
      </c>
      <c r="P2841">
        <f t="shared" si="337"/>
        <v>3700</v>
      </c>
      <c r="Q2841" t="str">
        <f t="shared" si="334"/>
        <v>theater</v>
      </c>
      <c r="R2841" t="str">
        <f t="shared" si="335"/>
        <v>plays</v>
      </c>
      <c r="S2841" s="9">
        <f t="shared" si="338"/>
        <v>41853.031874999993</v>
      </c>
      <c r="T2841" s="9">
        <f t="shared" si="339"/>
        <v>41875.999305555553</v>
      </c>
    </row>
    <row r="2842" spans="1:20" ht="43.5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36"/>
        <v>1.04</v>
      </c>
      <c r="P2842">
        <f t="shared" si="337"/>
        <v>2550</v>
      </c>
      <c r="Q2842" t="str">
        <f t="shared" si="334"/>
        <v>theater</v>
      </c>
      <c r="R2842" t="str">
        <f t="shared" si="335"/>
        <v>plays</v>
      </c>
      <c r="S2842" s="9">
        <f t="shared" si="338"/>
        <v>42059.827303240738</v>
      </c>
      <c r="T2842" s="9">
        <f t="shared" si="339"/>
        <v>42081.499999999993</v>
      </c>
    </row>
    <row r="2843" spans="1:20" ht="43.5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36"/>
        <v>0.01</v>
      </c>
      <c r="P2843">
        <f t="shared" si="337"/>
        <v>505</v>
      </c>
      <c r="Q2843" t="str">
        <f t="shared" si="334"/>
        <v>theater</v>
      </c>
      <c r="R2843" t="str">
        <f t="shared" si="335"/>
        <v>plays</v>
      </c>
      <c r="S2843" s="9">
        <f t="shared" si="338"/>
        <v>42291.531215277777</v>
      </c>
      <c r="T2843" s="9">
        <f t="shared" si="339"/>
        <v>42351.572881944441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36"/>
        <v>0</v>
      </c>
      <c r="P2844">
        <f t="shared" si="337"/>
        <v>750</v>
      </c>
      <c r="Q2844" t="str">
        <f t="shared" si="334"/>
        <v>theater</v>
      </c>
      <c r="R2844" t="str">
        <f t="shared" si="335"/>
        <v>plays</v>
      </c>
      <c r="S2844" s="9">
        <f t="shared" si="338"/>
        <v>41784.744155092594</v>
      </c>
      <c r="T2844" s="9">
        <f t="shared" si="339"/>
        <v>41811.25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36"/>
        <v>0</v>
      </c>
      <c r="P2845">
        <f t="shared" si="337"/>
        <v>600</v>
      </c>
      <c r="Q2845" t="str">
        <f t="shared" si="334"/>
        <v>theater</v>
      </c>
      <c r="R2845" t="str">
        <f t="shared" si="335"/>
        <v>plays</v>
      </c>
      <c r="S2845" s="9">
        <f t="shared" si="338"/>
        <v>42492.529513888883</v>
      </c>
      <c r="T2845" s="9">
        <f t="shared" si="339"/>
        <v>42533.958333333336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36"/>
        <v>5.4545454545454543E-2</v>
      </c>
      <c r="P2846">
        <f t="shared" si="337"/>
        <v>290</v>
      </c>
      <c r="Q2846" t="str">
        <f t="shared" si="334"/>
        <v>theater</v>
      </c>
      <c r="R2846" t="str">
        <f t="shared" si="335"/>
        <v>plays</v>
      </c>
      <c r="S2846" s="9">
        <f t="shared" si="338"/>
        <v>42709.337731481479</v>
      </c>
      <c r="T2846" s="9">
        <f t="shared" si="339"/>
        <v>42739.337731481479</v>
      </c>
    </row>
    <row r="2847" spans="1:20" ht="29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36"/>
        <v>0.31546666666666667</v>
      </c>
      <c r="P2847">
        <f t="shared" si="337"/>
        <v>4933</v>
      </c>
      <c r="Q2847" t="str">
        <f t="shared" si="334"/>
        <v>theater</v>
      </c>
      <c r="R2847" t="str">
        <f t="shared" si="335"/>
        <v>plays</v>
      </c>
      <c r="S2847" s="9">
        <f t="shared" si="338"/>
        <v>42102.808252314811</v>
      </c>
      <c r="T2847" s="9">
        <f t="shared" si="339"/>
        <v>42162.808252314811</v>
      </c>
    </row>
    <row r="2848" spans="1:20" ht="43.5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36"/>
        <v>0</v>
      </c>
      <c r="P2848">
        <f t="shared" si="337"/>
        <v>4000</v>
      </c>
      <c r="Q2848" t="str">
        <f t="shared" ref="Q2848:Q2911" si="340">IF(N2848="theater/plays","theater")</f>
        <v>theater</v>
      </c>
      <c r="R2848" t="str">
        <f t="shared" ref="R2848:R2911" si="341">IF(N2848="theater/plays","plays")</f>
        <v>plays</v>
      </c>
      <c r="S2848" s="9">
        <f t="shared" si="338"/>
        <v>42108.483726851853</v>
      </c>
      <c r="T2848" s="9">
        <f t="shared" si="339"/>
        <v>42153.483726851853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36"/>
        <v>0</v>
      </c>
      <c r="P2849">
        <f t="shared" si="337"/>
        <v>1000</v>
      </c>
      <c r="Q2849" t="str">
        <f t="shared" si="340"/>
        <v>theater</v>
      </c>
      <c r="R2849" t="str">
        <f t="shared" si="341"/>
        <v>plays</v>
      </c>
      <c r="S2849" s="9">
        <f t="shared" si="338"/>
        <v>42453.597974537035</v>
      </c>
      <c r="T2849" s="9">
        <f t="shared" si="339"/>
        <v>42513.597974537035</v>
      </c>
    </row>
    <row r="2850" spans="1:20" ht="43.5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36"/>
        <v>2E-3</v>
      </c>
      <c r="P2850">
        <f t="shared" si="337"/>
        <v>17535</v>
      </c>
      <c r="Q2850" t="str">
        <f t="shared" si="340"/>
        <v>theater</v>
      </c>
      <c r="R2850" t="str">
        <f t="shared" si="341"/>
        <v>plays</v>
      </c>
      <c r="S2850" s="9">
        <f t="shared" si="338"/>
        <v>42123.440497685187</v>
      </c>
      <c r="T2850" s="9">
        <f t="shared" si="339"/>
        <v>42153.440497685187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36"/>
        <v>0.01</v>
      </c>
      <c r="P2851">
        <f t="shared" si="337"/>
        <v>252.5</v>
      </c>
      <c r="Q2851" t="str">
        <f t="shared" si="340"/>
        <v>theater</v>
      </c>
      <c r="R2851" t="str">
        <f t="shared" si="341"/>
        <v>plays</v>
      </c>
      <c r="S2851" s="9">
        <f t="shared" si="338"/>
        <v>42453.219907407409</v>
      </c>
      <c r="T2851" s="9">
        <f t="shared" si="339"/>
        <v>42483.219907407409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36"/>
        <v>3.8875E-2</v>
      </c>
      <c r="P2852">
        <f t="shared" si="337"/>
        <v>4155.5</v>
      </c>
      <c r="Q2852" t="str">
        <f t="shared" si="340"/>
        <v>theater</v>
      </c>
      <c r="R2852" t="str">
        <f t="shared" si="341"/>
        <v>plays</v>
      </c>
      <c r="S2852" s="9">
        <f t="shared" si="338"/>
        <v>41857.798738425925</v>
      </c>
      <c r="T2852" s="9">
        <f t="shared" si="339"/>
        <v>41887.798738425925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36"/>
        <v>0</v>
      </c>
      <c r="P2853">
        <f t="shared" si="337"/>
        <v>2250</v>
      </c>
      <c r="Q2853" t="str">
        <f t="shared" si="340"/>
        <v>theater</v>
      </c>
      <c r="R2853" t="str">
        <f t="shared" si="341"/>
        <v>plays</v>
      </c>
      <c r="S2853" s="9">
        <f t="shared" si="338"/>
        <v>42389.794317129628</v>
      </c>
      <c r="T2853" s="9">
        <f t="shared" si="339"/>
        <v>42398.761805555558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36"/>
        <v>1.9E-2</v>
      </c>
      <c r="P2854">
        <f t="shared" si="337"/>
        <v>2547.5</v>
      </c>
      <c r="Q2854" t="str">
        <f t="shared" si="340"/>
        <v>theater</v>
      </c>
      <c r="R2854" t="str">
        <f t="shared" si="341"/>
        <v>plays</v>
      </c>
      <c r="S2854" s="9">
        <f t="shared" si="338"/>
        <v>41780.836840277778</v>
      </c>
      <c r="T2854" s="9">
        <f t="shared" si="339"/>
        <v>41810.836840277778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36"/>
        <v>0</v>
      </c>
      <c r="P2855">
        <f t="shared" si="337"/>
        <v>4750</v>
      </c>
      <c r="Q2855" t="str">
        <f t="shared" si="340"/>
        <v>theater</v>
      </c>
      <c r="R2855" t="str">
        <f t="shared" si="341"/>
        <v>plays</v>
      </c>
      <c r="S2855" s="9">
        <f t="shared" si="338"/>
        <v>41835.98260416666</v>
      </c>
      <c r="T2855" s="9">
        <f t="shared" si="339"/>
        <v>41895.98260416666</v>
      </c>
    </row>
    <row r="2856" spans="1:20" ht="29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36"/>
        <v>0.41699999999999998</v>
      </c>
      <c r="P2856">
        <f t="shared" si="337"/>
        <v>708.5</v>
      </c>
      <c r="Q2856" t="str">
        <f t="shared" si="340"/>
        <v>theater</v>
      </c>
      <c r="R2856" t="str">
        <f t="shared" si="341"/>
        <v>plays</v>
      </c>
      <c r="S2856" s="9">
        <f t="shared" si="338"/>
        <v>42111.508321759255</v>
      </c>
      <c r="T2856" s="9">
        <f t="shared" si="339"/>
        <v>42131.508321759255</v>
      </c>
    </row>
    <row r="2857" spans="1:20" ht="43.5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36"/>
        <v>0.5</v>
      </c>
      <c r="P2857">
        <f t="shared" si="337"/>
        <v>450</v>
      </c>
      <c r="Q2857" t="str">
        <f t="shared" si="340"/>
        <v>theater</v>
      </c>
      <c r="R2857" t="str">
        <f t="shared" si="341"/>
        <v>plays</v>
      </c>
      <c r="S2857" s="9">
        <f t="shared" si="338"/>
        <v>42369.799432870372</v>
      </c>
      <c r="T2857" s="9">
        <f t="shared" si="339"/>
        <v>42398.773611111108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36"/>
        <v>4.8666666666666664E-2</v>
      </c>
      <c r="P2858">
        <f t="shared" si="337"/>
        <v>1573</v>
      </c>
      <c r="Q2858" t="str">
        <f t="shared" si="340"/>
        <v>theater</v>
      </c>
      <c r="R2858" t="str">
        <f t="shared" si="341"/>
        <v>plays</v>
      </c>
      <c r="S2858" s="9">
        <f t="shared" si="338"/>
        <v>42164.829247685186</v>
      </c>
      <c r="T2858" s="9">
        <f t="shared" si="339"/>
        <v>42224.69027777778</v>
      </c>
    </row>
    <row r="2859" spans="1:20" ht="43.5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36"/>
        <v>0.19736842105263158</v>
      </c>
      <c r="P2859">
        <f t="shared" si="337"/>
        <v>22750</v>
      </c>
      <c r="Q2859" t="str">
        <f t="shared" si="340"/>
        <v>theater</v>
      </c>
      <c r="R2859" t="str">
        <f t="shared" si="341"/>
        <v>plays</v>
      </c>
      <c r="S2859" s="9">
        <f t="shared" si="338"/>
        <v>42726.711747685178</v>
      </c>
      <c r="T2859" s="9">
        <f t="shared" si="339"/>
        <v>42786.541666666664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36"/>
        <v>0</v>
      </c>
      <c r="P2860">
        <f t="shared" si="337"/>
        <v>500</v>
      </c>
      <c r="Q2860" t="str">
        <f t="shared" si="340"/>
        <v>theater</v>
      </c>
      <c r="R2860" t="str">
        <f t="shared" si="341"/>
        <v>plays</v>
      </c>
      <c r="S2860" s="9">
        <f t="shared" si="338"/>
        <v>41954.336747685178</v>
      </c>
      <c r="T2860" s="9">
        <f t="shared" si="339"/>
        <v>41978.269444444442</v>
      </c>
    </row>
    <row r="2861" spans="1:20" ht="29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36"/>
        <v>1.7500000000000002E-2</v>
      </c>
      <c r="P2861">
        <f t="shared" si="337"/>
        <v>1017.5</v>
      </c>
      <c r="Q2861" t="str">
        <f t="shared" si="340"/>
        <v>theater</v>
      </c>
      <c r="R2861" t="str">
        <f t="shared" si="341"/>
        <v>plays</v>
      </c>
      <c r="S2861" s="9">
        <f t="shared" si="338"/>
        <v>42233.153981481482</v>
      </c>
      <c r="T2861" s="9">
        <f t="shared" si="339"/>
        <v>42293.153981481482</v>
      </c>
    </row>
    <row r="2862" spans="1:20" ht="43.5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36"/>
        <v>6.6500000000000004E-2</v>
      </c>
      <c r="P2862">
        <f t="shared" si="337"/>
        <v>2133</v>
      </c>
      <c r="Q2862" t="str">
        <f t="shared" si="340"/>
        <v>theater</v>
      </c>
      <c r="R2862" t="str">
        <f t="shared" si="341"/>
        <v>plays</v>
      </c>
      <c r="S2862" s="9">
        <f t="shared" si="338"/>
        <v>42480.592314814814</v>
      </c>
      <c r="T2862" s="9">
        <f t="shared" si="339"/>
        <v>42540.592314814814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36"/>
        <v>0.32</v>
      </c>
      <c r="P2863">
        <f t="shared" si="337"/>
        <v>165</v>
      </c>
      <c r="Q2863" t="str">
        <f t="shared" si="340"/>
        <v>theater</v>
      </c>
      <c r="R2863" t="str">
        <f t="shared" si="341"/>
        <v>plays</v>
      </c>
      <c r="S2863" s="9">
        <f t="shared" si="338"/>
        <v>42257.3825</v>
      </c>
      <c r="T2863" s="9">
        <f t="shared" si="339"/>
        <v>42271.3825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36"/>
        <v>4.3307086614173228E-3</v>
      </c>
      <c r="P2864">
        <f t="shared" si="337"/>
        <v>6377.5</v>
      </c>
      <c r="Q2864" t="str">
        <f t="shared" si="340"/>
        <v>theater</v>
      </c>
      <c r="R2864" t="str">
        <f t="shared" si="341"/>
        <v>plays</v>
      </c>
      <c r="S2864" s="9">
        <f t="shared" si="338"/>
        <v>41784.581354166665</v>
      </c>
      <c r="T2864" s="9">
        <f t="shared" si="339"/>
        <v>41814.581354166665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36"/>
        <v>4.0000000000000002E-4</v>
      </c>
      <c r="P2865">
        <f t="shared" si="337"/>
        <v>25010</v>
      </c>
      <c r="Q2865" t="str">
        <f t="shared" si="340"/>
        <v>theater</v>
      </c>
      <c r="R2865" t="str">
        <f t="shared" si="341"/>
        <v>plays</v>
      </c>
      <c r="S2865" s="9">
        <f t="shared" si="338"/>
        <v>41831.46670138889</v>
      </c>
      <c r="T2865" s="9">
        <f t="shared" si="339"/>
        <v>41891.46670138889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36"/>
        <v>1.6E-2</v>
      </c>
      <c r="P2866">
        <f t="shared" si="337"/>
        <v>1270</v>
      </c>
      <c r="Q2866" t="str">
        <f t="shared" si="340"/>
        <v>theater</v>
      </c>
      <c r="R2866" t="str">
        <f t="shared" si="341"/>
        <v>plays</v>
      </c>
      <c r="S2866" s="9">
        <f t="shared" si="338"/>
        <v>42172.405173611107</v>
      </c>
      <c r="T2866" s="9">
        <f t="shared" si="339"/>
        <v>42202.345833333333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36"/>
        <v>0</v>
      </c>
      <c r="P2867">
        <f t="shared" si="337"/>
        <v>1444</v>
      </c>
      <c r="Q2867" t="str">
        <f t="shared" si="340"/>
        <v>theater</v>
      </c>
      <c r="R2867" t="str">
        <f t="shared" si="341"/>
        <v>plays</v>
      </c>
      <c r="S2867" s="9">
        <f t="shared" si="338"/>
        <v>41949.905775462961</v>
      </c>
      <c r="T2867" s="9">
        <f t="shared" si="339"/>
        <v>42009.905775462961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36"/>
        <v>8.9999999999999993E-3</v>
      </c>
      <c r="P2868">
        <f t="shared" si="337"/>
        <v>2522.5</v>
      </c>
      <c r="Q2868" t="str">
        <f t="shared" si="340"/>
        <v>theater</v>
      </c>
      <c r="R2868" t="str">
        <f t="shared" si="341"/>
        <v>plays</v>
      </c>
      <c r="S2868" s="9">
        <f t="shared" si="338"/>
        <v>42627.746770833335</v>
      </c>
      <c r="T2868" s="9">
        <f t="shared" si="339"/>
        <v>42657.708333333336</v>
      </c>
    </row>
    <row r="2869" spans="1:20" ht="43.5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36"/>
        <v>0.2016</v>
      </c>
      <c r="P2869">
        <f t="shared" si="337"/>
        <v>1502</v>
      </c>
      <c r="Q2869" t="str">
        <f t="shared" si="340"/>
        <v>theater</v>
      </c>
      <c r="R2869" t="str">
        <f t="shared" si="341"/>
        <v>plays</v>
      </c>
      <c r="S2869" s="9">
        <f t="shared" si="338"/>
        <v>42530.986944444441</v>
      </c>
      <c r="T2869" s="9">
        <f t="shared" si="339"/>
        <v>42554.958333333336</v>
      </c>
    </row>
    <row r="2870" spans="1:20" ht="43.5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36"/>
        <v>0.42011733333333334</v>
      </c>
      <c r="P2870">
        <f t="shared" si="337"/>
        <v>10650.880000000001</v>
      </c>
      <c r="Q2870" t="str">
        <f t="shared" si="340"/>
        <v>theater</v>
      </c>
      <c r="R2870" t="str">
        <f t="shared" si="341"/>
        <v>plays</v>
      </c>
      <c r="S2870" s="9">
        <f t="shared" si="338"/>
        <v>42618.618680555555</v>
      </c>
      <c r="T2870" s="9">
        <f t="shared" si="339"/>
        <v>42648.618680555555</v>
      </c>
    </row>
    <row r="2871" spans="1:20" ht="43.5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36"/>
        <v>8.8500000000000002E-3</v>
      </c>
      <c r="P2871">
        <f t="shared" si="337"/>
        <v>10088.5</v>
      </c>
      <c r="Q2871" t="str">
        <f t="shared" si="340"/>
        <v>theater</v>
      </c>
      <c r="R2871" t="str">
        <f t="shared" si="341"/>
        <v>plays</v>
      </c>
      <c r="S2871" s="9">
        <f t="shared" si="338"/>
        <v>42540.385196759256</v>
      </c>
      <c r="T2871" s="9">
        <f t="shared" si="339"/>
        <v>42570.385196759256</v>
      </c>
    </row>
    <row r="2872" spans="1:20" ht="43.5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36"/>
        <v>0.15</v>
      </c>
      <c r="P2872">
        <f t="shared" si="337"/>
        <v>2875</v>
      </c>
      <c r="Q2872" t="str">
        <f t="shared" si="340"/>
        <v>theater</v>
      </c>
      <c r="R2872" t="str">
        <f t="shared" si="341"/>
        <v>plays</v>
      </c>
      <c r="S2872" s="9">
        <f t="shared" si="338"/>
        <v>41745.981076388889</v>
      </c>
      <c r="T2872" s="9">
        <f t="shared" si="339"/>
        <v>41775.981076388889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36"/>
        <v>4.6699999999999998E-2</v>
      </c>
      <c r="P2873">
        <f t="shared" si="337"/>
        <v>5233.5</v>
      </c>
      <c r="Q2873" t="str">
        <f t="shared" si="340"/>
        <v>theater</v>
      </c>
      <c r="R2873" t="str">
        <f t="shared" si="341"/>
        <v>plays</v>
      </c>
      <c r="S2873" s="9">
        <f t="shared" si="338"/>
        <v>41974.530243055553</v>
      </c>
      <c r="T2873" s="9">
        <f t="shared" si="339"/>
        <v>41994.530243055553</v>
      </c>
    </row>
    <row r="2874" spans="1:20" ht="29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36"/>
        <v>0</v>
      </c>
      <c r="P2874">
        <f t="shared" si="337"/>
        <v>1500</v>
      </c>
      <c r="Q2874" t="str">
        <f t="shared" si="340"/>
        <v>theater</v>
      </c>
      <c r="R2874" t="str">
        <f t="shared" si="341"/>
        <v>plays</v>
      </c>
      <c r="S2874" s="9">
        <f t="shared" si="338"/>
        <v>42114.907847222225</v>
      </c>
      <c r="T2874" s="9">
        <f t="shared" si="339"/>
        <v>42174.907847222225</v>
      </c>
    </row>
    <row r="2875" spans="1:20" ht="43.5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36"/>
        <v>0.38119999999999998</v>
      </c>
      <c r="P2875">
        <f t="shared" si="337"/>
        <v>1726.5</v>
      </c>
      <c r="Q2875" t="str">
        <f t="shared" si="340"/>
        <v>theater</v>
      </c>
      <c r="R2875" t="str">
        <f t="shared" si="341"/>
        <v>plays</v>
      </c>
      <c r="S2875" s="9">
        <f t="shared" si="338"/>
        <v>42002.609155092585</v>
      </c>
      <c r="T2875" s="9">
        <f t="shared" si="339"/>
        <v>42032.609155092585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36"/>
        <v>5.4199999999999998E-2</v>
      </c>
      <c r="P2876">
        <f t="shared" si="337"/>
        <v>2635.5</v>
      </c>
      <c r="Q2876" t="str">
        <f t="shared" si="340"/>
        <v>theater</v>
      </c>
      <c r="R2876" t="str">
        <f t="shared" si="341"/>
        <v>plays</v>
      </c>
      <c r="S2876" s="9">
        <f t="shared" si="338"/>
        <v>42722.636412037034</v>
      </c>
      <c r="T2876" s="9">
        <f t="shared" si="339"/>
        <v>42752.636412037034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36"/>
        <v>3.5E-4</v>
      </c>
      <c r="P2877">
        <f t="shared" si="337"/>
        <v>10003.5</v>
      </c>
      <c r="Q2877" t="str">
        <f t="shared" si="340"/>
        <v>theater</v>
      </c>
      <c r="R2877" t="str">
        <f t="shared" si="341"/>
        <v>plays</v>
      </c>
      <c r="S2877" s="9">
        <f t="shared" si="338"/>
        <v>42464.920057870368</v>
      </c>
      <c r="T2877" s="9">
        <f t="shared" si="339"/>
        <v>42494.920057870368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36"/>
        <v>0</v>
      </c>
      <c r="P2878">
        <f t="shared" si="337"/>
        <v>75000</v>
      </c>
      <c r="Q2878" t="str">
        <f t="shared" si="340"/>
        <v>theater</v>
      </c>
      <c r="R2878" t="str">
        <f t="shared" si="341"/>
        <v>plays</v>
      </c>
      <c r="S2878" s="9">
        <f t="shared" si="338"/>
        <v>42171.535636574066</v>
      </c>
      <c r="T2878" s="9">
        <f t="shared" si="339"/>
        <v>42201.535636574066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36"/>
        <v>0.10833333333333334</v>
      </c>
      <c r="P2879">
        <f t="shared" si="337"/>
        <v>3325</v>
      </c>
      <c r="Q2879" t="str">
        <f t="shared" si="340"/>
        <v>theater</v>
      </c>
      <c r="R2879" t="str">
        <f t="shared" si="341"/>
        <v>plays</v>
      </c>
      <c r="S2879" s="9">
        <f t="shared" si="338"/>
        <v>42672.746805555558</v>
      </c>
      <c r="T2879" s="9">
        <f t="shared" si="339"/>
        <v>42704.499999999993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36"/>
        <v>2.1000000000000001E-2</v>
      </c>
      <c r="P2880">
        <f t="shared" si="337"/>
        <v>1531.5</v>
      </c>
      <c r="Q2880" t="str">
        <f t="shared" si="340"/>
        <v>theater</v>
      </c>
      <c r="R2880" t="str">
        <f t="shared" si="341"/>
        <v>plays</v>
      </c>
      <c r="S2880" s="9">
        <f t="shared" si="338"/>
        <v>42128.407349537032</v>
      </c>
      <c r="T2880" s="9">
        <f t="shared" si="339"/>
        <v>42188.407349537032</v>
      </c>
    </row>
    <row r="2881" spans="1:20" ht="29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36"/>
        <v>2.5892857142857141E-3</v>
      </c>
      <c r="P2881">
        <f t="shared" si="337"/>
        <v>5614.5</v>
      </c>
      <c r="Q2881" t="str">
        <f t="shared" si="340"/>
        <v>theater</v>
      </c>
      <c r="R2881" t="str">
        <f t="shared" si="341"/>
        <v>plays</v>
      </c>
      <c r="S2881" s="9">
        <f t="shared" si="338"/>
        <v>42359.516909722217</v>
      </c>
      <c r="T2881" s="9">
        <f t="shared" si="339"/>
        <v>42389.516909722217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36"/>
        <v>0.23333333333333334</v>
      </c>
      <c r="P2882">
        <f t="shared" si="337"/>
        <v>7400</v>
      </c>
      <c r="Q2882" t="str">
        <f t="shared" si="340"/>
        <v>theater</v>
      </c>
      <c r="R2882" t="str">
        <f t="shared" si="341"/>
        <v>plays</v>
      </c>
      <c r="S2882" s="9">
        <f t="shared" si="338"/>
        <v>42192.69736111111</v>
      </c>
      <c r="T2882" s="9">
        <f t="shared" si="339"/>
        <v>42236.503472222219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342">E2883/D2883</f>
        <v>0</v>
      </c>
      <c r="P2883">
        <f t="shared" ref="P2883:P2946" si="343">AVERAGE(D2883:E2883)</f>
        <v>2750</v>
      </c>
      <c r="Q2883" t="str">
        <f t="shared" si="340"/>
        <v>theater</v>
      </c>
      <c r="R2883" t="str">
        <f t="shared" si="341"/>
        <v>plays</v>
      </c>
      <c r="S2883" s="9">
        <f t="shared" ref="S2883:S2946" si="344">J2883/86400+25569+(-5/24)</f>
        <v>41916.389305555553</v>
      </c>
      <c r="T2883" s="9">
        <f t="shared" si="339"/>
        <v>41976.430972222217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42"/>
        <v>0.33600000000000002</v>
      </c>
      <c r="P2884">
        <f t="shared" si="343"/>
        <v>501</v>
      </c>
      <c r="Q2884" t="str">
        <f t="shared" si="340"/>
        <v>theater</v>
      </c>
      <c r="R2884" t="str">
        <f t="shared" si="341"/>
        <v>plays</v>
      </c>
      <c r="S2884" s="9">
        <f t="shared" si="344"/>
        <v>42461.387939814813</v>
      </c>
      <c r="T2884" s="9">
        <f t="shared" ref="T2884:T2947" si="345">I2884/86400+25569+(-5/24)</f>
        <v>42491.387939814813</v>
      </c>
    </row>
    <row r="2885" spans="1:20" ht="43.5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42"/>
        <v>0.1908</v>
      </c>
      <c r="P2885">
        <f t="shared" si="343"/>
        <v>5954</v>
      </c>
      <c r="Q2885" t="str">
        <f t="shared" si="340"/>
        <v>theater</v>
      </c>
      <c r="R2885" t="str">
        <f t="shared" si="341"/>
        <v>plays</v>
      </c>
      <c r="S2885" s="9">
        <f t="shared" si="344"/>
        <v>42370.694872685184</v>
      </c>
      <c r="T2885" s="9">
        <f t="shared" si="345"/>
        <v>42405.999305555553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42"/>
        <v>4.1111111111111114E-3</v>
      </c>
      <c r="P2886">
        <f t="shared" si="343"/>
        <v>22592.5</v>
      </c>
      <c r="Q2886" t="str">
        <f t="shared" si="340"/>
        <v>theater</v>
      </c>
      <c r="R2886" t="str">
        <f t="shared" si="341"/>
        <v>plays</v>
      </c>
      <c r="S2886" s="9">
        <f t="shared" si="344"/>
        <v>41948.518923611111</v>
      </c>
      <c r="T2886" s="9">
        <f t="shared" si="345"/>
        <v>41978.518923611111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42"/>
        <v>0.32500000000000001</v>
      </c>
      <c r="P2887">
        <f t="shared" si="343"/>
        <v>265</v>
      </c>
      <c r="Q2887" t="str">
        <f t="shared" si="340"/>
        <v>theater</v>
      </c>
      <c r="R2887" t="str">
        <f t="shared" si="341"/>
        <v>plays</v>
      </c>
      <c r="S2887" s="9">
        <f t="shared" si="344"/>
        <v>42046.868067129624</v>
      </c>
      <c r="T2887" s="9">
        <f t="shared" si="345"/>
        <v>42076.82640046296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42"/>
        <v>0.05</v>
      </c>
      <c r="P2888">
        <f t="shared" si="343"/>
        <v>105</v>
      </c>
      <c r="Q2888" t="str">
        <f t="shared" si="340"/>
        <v>theater</v>
      </c>
      <c r="R2888" t="str">
        <f t="shared" si="341"/>
        <v>plays</v>
      </c>
      <c r="S2888" s="9">
        <f t="shared" si="344"/>
        <v>42261.424583333333</v>
      </c>
      <c r="T2888" s="9">
        <f t="shared" si="345"/>
        <v>42265.957638888889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42"/>
        <v>1.6666666666666668E-3</v>
      </c>
      <c r="P2889">
        <f t="shared" si="343"/>
        <v>1502.5</v>
      </c>
      <c r="Q2889" t="str">
        <f t="shared" si="340"/>
        <v>theater</v>
      </c>
      <c r="R2889" t="str">
        <f t="shared" si="341"/>
        <v>plays</v>
      </c>
      <c r="S2889" s="9">
        <f t="shared" si="344"/>
        <v>41985.219027777777</v>
      </c>
      <c r="T2889" s="9">
        <f t="shared" si="345"/>
        <v>42015.219027777777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42"/>
        <v>0</v>
      </c>
      <c r="P2890">
        <f t="shared" si="343"/>
        <v>15000</v>
      </c>
      <c r="Q2890" t="str">
        <f t="shared" si="340"/>
        <v>theater</v>
      </c>
      <c r="R2890" t="str">
        <f t="shared" si="341"/>
        <v>plays</v>
      </c>
      <c r="S2890" s="9">
        <f t="shared" si="344"/>
        <v>41922.326851851853</v>
      </c>
      <c r="T2890" s="9">
        <f t="shared" si="345"/>
        <v>41929.999305555553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42"/>
        <v>0.38066666666666665</v>
      </c>
      <c r="P2891">
        <f t="shared" si="343"/>
        <v>2071</v>
      </c>
      <c r="Q2891" t="str">
        <f t="shared" si="340"/>
        <v>theater</v>
      </c>
      <c r="R2891" t="str">
        <f t="shared" si="341"/>
        <v>plays</v>
      </c>
      <c r="S2891" s="9">
        <f t="shared" si="344"/>
        <v>41850.654918981476</v>
      </c>
      <c r="T2891" s="9">
        <f t="shared" si="345"/>
        <v>41880.654918981476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42"/>
        <v>1.0500000000000001E-2</v>
      </c>
      <c r="P2892">
        <f t="shared" si="343"/>
        <v>1010.5</v>
      </c>
      <c r="Q2892" t="str">
        <f t="shared" si="340"/>
        <v>theater</v>
      </c>
      <c r="R2892" t="str">
        <f t="shared" si="341"/>
        <v>plays</v>
      </c>
      <c r="S2892" s="9">
        <f t="shared" si="344"/>
        <v>41831.534629629627</v>
      </c>
      <c r="T2892" s="9">
        <f t="shared" si="345"/>
        <v>41859.916666666664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42"/>
        <v>2.7300000000000001E-2</v>
      </c>
      <c r="P2893">
        <f t="shared" si="343"/>
        <v>5136.5</v>
      </c>
      <c r="Q2893" t="str">
        <f t="shared" si="340"/>
        <v>theater</v>
      </c>
      <c r="R2893" t="str">
        <f t="shared" si="341"/>
        <v>plays</v>
      </c>
      <c r="S2893" s="9">
        <f t="shared" si="344"/>
        <v>42415.675092592595</v>
      </c>
      <c r="T2893" s="9">
        <f t="shared" si="345"/>
        <v>42475.633425925924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42"/>
        <v>9.0909090909090912E-2</v>
      </c>
      <c r="P2894">
        <f t="shared" si="343"/>
        <v>3000</v>
      </c>
      <c r="Q2894" t="str">
        <f t="shared" si="340"/>
        <v>theater</v>
      </c>
      <c r="R2894" t="str">
        <f t="shared" si="341"/>
        <v>plays</v>
      </c>
      <c r="S2894" s="9">
        <f t="shared" si="344"/>
        <v>41869.505833333329</v>
      </c>
      <c r="T2894" s="9">
        <f t="shared" si="345"/>
        <v>41876.666666666664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42"/>
        <v>5.0000000000000001E-3</v>
      </c>
      <c r="P2895">
        <f t="shared" si="343"/>
        <v>2512.5</v>
      </c>
      <c r="Q2895" t="str">
        <f t="shared" si="340"/>
        <v>theater</v>
      </c>
      <c r="R2895" t="str">
        <f t="shared" si="341"/>
        <v>plays</v>
      </c>
      <c r="S2895" s="9">
        <f t="shared" si="344"/>
        <v>41953.564756944441</v>
      </c>
      <c r="T2895" s="9">
        <f t="shared" si="345"/>
        <v>42012.874999999993</v>
      </c>
    </row>
    <row r="2896" spans="1:20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42"/>
        <v>0</v>
      </c>
      <c r="P2896">
        <f t="shared" si="343"/>
        <v>25000</v>
      </c>
      <c r="Q2896" t="str">
        <f t="shared" si="340"/>
        <v>theater</v>
      </c>
      <c r="R2896" t="str">
        <f t="shared" si="341"/>
        <v>plays</v>
      </c>
      <c r="S2896" s="9">
        <f t="shared" si="344"/>
        <v>42037.777951388889</v>
      </c>
      <c r="T2896" s="9">
        <f t="shared" si="345"/>
        <v>42097.736284722218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42"/>
        <v>4.5999999999999999E-2</v>
      </c>
      <c r="P2897">
        <f t="shared" si="343"/>
        <v>261.5</v>
      </c>
      <c r="Q2897" t="str">
        <f t="shared" si="340"/>
        <v>theater</v>
      </c>
      <c r="R2897" t="str">
        <f t="shared" si="341"/>
        <v>plays</v>
      </c>
      <c r="S2897" s="9">
        <f t="shared" si="344"/>
        <v>41811.347129629627</v>
      </c>
      <c r="T2897" s="9">
        <f t="shared" si="345"/>
        <v>41812.666666666664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42"/>
        <v>0.20833333333333334</v>
      </c>
      <c r="P2898">
        <f t="shared" si="343"/>
        <v>1812.5</v>
      </c>
      <c r="Q2898" t="str">
        <f t="shared" si="340"/>
        <v>theater</v>
      </c>
      <c r="R2898" t="str">
        <f t="shared" si="341"/>
        <v>plays</v>
      </c>
      <c r="S2898" s="9">
        <f t="shared" si="344"/>
        <v>42701.700474537036</v>
      </c>
      <c r="T2898" s="9">
        <f t="shared" si="345"/>
        <v>42716.041666666664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42"/>
        <v>4.583333333333333E-2</v>
      </c>
      <c r="P2899">
        <f t="shared" si="343"/>
        <v>6275</v>
      </c>
      <c r="Q2899" t="str">
        <f t="shared" si="340"/>
        <v>theater</v>
      </c>
      <c r="R2899" t="str">
        <f t="shared" si="341"/>
        <v>plays</v>
      </c>
      <c r="S2899" s="9">
        <f t="shared" si="344"/>
        <v>42258.438171296293</v>
      </c>
      <c r="T2899" s="9">
        <f t="shared" si="345"/>
        <v>42288.436863425923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42"/>
        <v>4.2133333333333335E-2</v>
      </c>
      <c r="P2900">
        <f t="shared" si="343"/>
        <v>3908</v>
      </c>
      <c r="Q2900" t="str">
        <f t="shared" si="340"/>
        <v>theater</v>
      </c>
      <c r="R2900" t="str">
        <f t="shared" si="341"/>
        <v>plays</v>
      </c>
      <c r="S2900" s="9">
        <f t="shared" si="344"/>
        <v>42278.456631944442</v>
      </c>
      <c r="T2900" s="9">
        <f t="shared" si="345"/>
        <v>42308.456631944442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42"/>
        <v>0</v>
      </c>
      <c r="P2901">
        <f t="shared" si="343"/>
        <v>5000</v>
      </c>
      <c r="Q2901" t="str">
        <f t="shared" si="340"/>
        <v>theater</v>
      </c>
      <c r="R2901" t="str">
        <f t="shared" si="341"/>
        <v>plays</v>
      </c>
      <c r="S2901" s="9">
        <f t="shared" si="344"/>
        <v>42514.869884259257</v>
      </c>
      <c r="T2901" s="9">
        <f t="shared" si="345"/>
        <v>42574.869884259257</v>
      </c>
    </row>
    <row r="2902" spans="1:20" ht="43.5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42"/>
        <v>0.61909090909090914</v>
      </c>
      <c r="P2902">
        <f t="shared" si="343"/>
        <v>4452.5</v>
      </c>
      <c r="Q2902" t="str">
        <f t="shared" si="340"/>
        <v>theater</v>
      </c>
      <c r="R2902" t="str">
        <f t="shared" si="341"/>
        <v>plays</v>
      </c>
      <c r="S2902" s="9">
        <f t="shared" si="344"/>
        <v>41830.025833333333</v>
      </c>
      <c r="T2902" s="9">
        <f t="shared" si="345"/>
        <v>41860.025833333333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42"/>
        <v>8.0000000000000002E-3</v>
      </c>
      <c r="P2903">
        <f t="shared" si="343"/>
        <v>378</v>
      </c>
      <c r="Q2903" t="str">
        <f t="shared" si="340"/>
        <v>theater</v>
      </c>
      <c r="R2903" t="str">
        <f t="shared" si="341"/>
        <v>plays</v>
      </c>
      <c r="S2903" s="9">
        <f t="shared" si="344"/>
        <v>41982.696053240739</v>
      </c>
      <c r="T2903" s="9">
        <f t="shared" si="345"/>
        <v>42042.696053240739</v>
      </c>
    </row>
    <row r="2904" spans="1:20" ht="29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42"/>
        <v>1.6666666666666666E-4</v>
      </c>
      <c r="P2904">
        <f t="shared" si="343"/>
        <v>75012.5</v>
      </c>
      <c r="Q2904" t="str">
        <f t="shared" si="340"/>
        <v>theater</v>
      </c>
      <c r="R2904" t="str">
        <f t="shared" si="341"/>
        <v>plays</v>
      </c>
      <c r="S2904" s="9">
        <f t="shared" si="344"/>
        <v>42210.231435185182</v>
      </c>
      <c r="T2904" s="9">
        <f t="shared" si="345"/>
        <v>42240.231435185182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42"/>
        <v>7.7999999999999996E-3</v>
      </c>
      <c r="P2905">
        <f t="shared" si="343"/>
        <v>2519.5</v>
      </c>
      <c r="Q2905" t="str">
        <f t="shared" si="340"/>
        <v>theater</v>
      </c>
      <c r="R2905" t="str">
        <f t="shared" si="341"/>
        <v>plays</v>
      </c>
      <c r="S2905" s="9">
        <f t="shared" si="344"/>
        <v>42195.95854166666</v>
      </c>
      <c r="T2905" s="9">
        <f t="shared" si="345"/>
        <v>42255.95854166666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42"/>
        <v>0.05</v>
      </c>
      <c r="P2906">
        <f t="shared" si="343"/>
        <v>787.5</v>
      </c>
      <c r="Q2906" t="str">
        <f t="shared" si="340"/>
        <v>theater</v>
      </c>
      <c r="R2906" t="str">
        <f t="shared" si="341"/>
        <v>plays</v>
      </c>
      <c r="S2906" s="9">
        <f t="shared" si="344"/>
        <v>41940.759618055556</v>
      </c>
      <c r="T2906" s="9">
        <f t="shared" si="345"/>
        <v>41952.291666666664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42"/>
        <v>0.17771428571428571</v>
      </c>
      <c r="P2907">
        <f t="shared" si="343"/>
        <v>2061</v>
      </c>
      <c r="Q2907" t="str">
        <f t="shared" si="340"/>
        <v>theater</v>
      </c>
      <c r="R2907" t="str">
        <f t="shared" si="341"/>
        <v>plays</v>
      </c>
      <c r="S2907" s="9">
        <f t="shared" si="344"/>
        <v>42605.848530092589</v>
      </c>
      <c r="T2907" s="9">
        <f t="shared" si="345"/>
        <v>42619.848530092589</v>
      </c>
    </row>
    <row r="2908" spans="1:20" ht="43.5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42"/>
        <v>9.4166666666666662E-2</v>
      </c>
      <c r="P2908">
        <f t="shared" si="343"/>
        <v>3282.5</v>
      </c>
      <c r="Q2908" t="str">
        <f t="shared" si="340"/>
        <v>theater</v>
      </c>
      <c r="R2908" t="str">
        <f t="shared" si="341"/>
        <v>plays</v>
      </c>
      <c r="S2908" s="9">
        <f t="shared" si="344"/>
        <v>42199.440578703703</v>
      </c>
      <c r="T2908" s="9">
        <f t="shared" si="345"/>
        <v>42216.833333333336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42"/>
        <v>8.0000000000000004E-4</v>
      </c>
      <c r="P2909">
        <f t="shared" si="343"/>
        <v>1251</v>
      </c>
      <c r="Q2909" t="str">
        <f t="shared" si="340"/>
        <v>theater</v>
      </c>
      <c r="R2909" t="str">
        <f t="shared" si="341"/>
        <v>plays</v>
      </c>
      <c r="S2909" s="9">
        <f t="shared" si="344"/>
        <v>42444.669409722221</v>
      </c>
      <c r="T2909" s="9">
        <f t="shared" si="345"/>
        <v>42504.669409722221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42"/>
        <v>2.75E-2</v>
      </c>
      <c r="P2910">
        <f t="shared" si="343"/>
        <v>4932</v>
      </c>
      <c r="Q2910" t="str">
        <f t="shared" si="340"/>
        <v>theater</v>
      </c>
      <c r="R2910" t="str">
        <f t="shared" si="341"/>
        <v>plays</v>
      </c>
      <c r="S2910" s="9">
        <f t="shared" si="344"/>
        <v>42499.523368055554</v>
      </c>
      <c r="T2910" s="9">
        <f t="shared" si="345"/>
        <v>42529.523368055554</v>
      </c>
    </row>
    <row r="2911" spans="1:20" ht="43.5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42"/>
        <v>1.1111111111111112E-4</v>
      </c>
      <c r="P2911">
        <f t="shared" si="343"/>
        <v>90010</v>
      </c>
      <c r="Q2911" t="str">
        <f t="shared" si="340"/>
        <v>theater</v>
      </c>
      <c r="R2911" t="str">
        <f t="shared" si="341"/>
        <v>plays</v>
      </c>
      <c r="S2911" s="9">
        <f t="shared" si="344"/>
        <v>41929.057881944442</v>
      </c>
      <c r="T2911" s="9">
        <f t="shared" si="345"/>
        <v>41968.615277777775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42"/>
        <v>3.3333333333333335E-5</v>
      </c>
      <c r="P2912">
        <f t="shared" si="343"/>
        <v>15000.5</v>
      </c>
      <c r="Q2912" t="str">
        <f t="shared" ref="Q2912:Q2922" si="346">IF(N2912="theater/plays","theater")</f>
        <v>theater</v>
      </c>
      <c r="R2912" t="str">
        <f t="shared" ref="R2912:R2922" si="347">IF(N2912="theater/plays","plays")</f>
        <v>plays</v>
      </c>
      <c r="S2912" s="9">
        <f t="shared" si="344"/>
        <v>42107.632951388885</v>
      </c>
      <c r="T2912" s="9">
        <f t="shared" si="345"/>
        <v>42167.632951388885</v>
      </c>
    </row>
    <row r="2913" spans="1:20" ht="43.5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42"/>
        <v>0.36499999999999999</v>
      </c>
      <c r="P2913">
        <f t="shared" si="343"/>
        <v>1228.5</v>
      </c>
      <c r="Q2913" t="str">
        <f t="shared" si="346"/>
        <v>theater</v>
      </c>
      <c r="R2913" t="str">
        <f t="shared" si="347"/>
        <v>plays</v>
      </c>
      <c r="S2913" s="9">
        <f t="shared" si="344"/>
        <v>42142.560486111113</v>
      </c>
      <c r="T2913" s="9">
        <f t="shared" si="345"/>
        <v>42182.560486111113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42"/>
        <v>0.14058171745152354</v>
      </c>
      <c r="P2914">
        <f t="shared" si="343"/>
        <v>8235</v>
      </c>
      <c r="Q2914" t="str">
        <f t="shared" si="346"/>
        <v>theater</v>
      </c>
      <c r="R2914" t="str">
        <f t="shared" si="347"/>
        <v>plays</v>
      </c>
      <c r="S2914" s="9">
        <f t="shared" si="344"/>
        <v>42353.923310185179</v>
      </c>
      <c r="T2914" s="9">
        <f t="shared" si="345"/>
        <v>42383.923310185179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42"/>
        <v>2.0000000000000001E-4</v>
      </c>
      <c r="P2915">
        <f t="shared" si="343"/>
        <v>5001</v>
      </c>
      <c r="Q2915" t="str">
        <f t="shared" si="346"/>
        <v>theater</v>
      </c>
      <c r="R2915" t="str">
        <f t="shared" si="347"/>
        <v>plays</v>
      </c>
      <c r="S2915" s="9">
        <f t="shared" si="344"/>
        <v>41828.714571759258</v>
      </c>
      <c r="T2915" s="9">
        <f t="shared" si="345"/>
        <v>41888.714571759258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42"/>
        <v>4.0000000000000003E-5</v>
      </c>
      <c r="P2916">
        <f t="shared" si="343"/>
        <v>12500.5</v>
      </c>
      <c r="Q2916" t="str">
        <f t="shared" si="346"/>
        <v>theater</v>
      </c>
      <c r="R2916" t="str">
        <f t="shared" si="347"/>
        <v>plays</v>
      </c>
      <c r="S2916" s="9">
        <f t="shared" si="344"/>
        <v>42017.699004629627</v>
      </c>
      <c r="T2916" s="9">
        <f t="shared" si="345"/>
        <v>42077.657337962963</v>
      </c>
    </row>
    <row r="2917" spans="1:20" ht="29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42"/>
        <v>0.61099999999999999</v>
      </c>
      <c r="P2917">
        <f t="shared" si="343"/>
        <v>805.5</v>
      </c>
      <c r="Q2917" t="str">
        <f t="shared" si="346"/>
        <v>theater</v>
      </c>
      <c r="R2917" t="str">
        <f t="shared" si="347"/>
        <v>plays</v>
      </c>
      <c r="S2917" s="9">
        <f t="shared" si="344"/>
        <v>42415.189699074072</v>
      </c>
      <c r="T2917" s="9">
        <f t="shared" si="345"/>
        <v>42445.1480324074</v>
      </c>
    </row>
    <row r="2918" spans="1:20" ht="29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42"/>
        <v>7.8378378378378383E-2</v>
      </c>
      <c r="P2918">
        <f t="shared" si="343"/>
        <v>997.5</v>
      </c>
      <c r="Q2918" t="str">
        <f t="shared" si="346"/>
        <v>theater</v>
      </c>
      <c r="R2918" t="str">
        <f t="shared" si="347"/>
        <v>plays</v>
      </c>
      <c r="S2918" s="9">
        <f t="shared" si="344"/>
        <v>41755.268391203703</v>
      </c>
      <c r="T2918" s="9">
        <f t="shared" si="345"/>
        <v>41778.268391203703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42"/>
        <v>0.2185</v>
      </c>
      <c r="P2919">
        <f t="shared" si="343"/>
        <v>1218.5</v>
      </c>
      <c r="Q2919" t="str">
        <f t="shared" si="346"/>
        <v>theater</v>
      </c>
      <c r="R2919" t="str">
        <f t="shared" si="347"/>
        <v>plays</v>
      </c>
      <c r="S2919" s="9">
        <f t="shared" si="344"/>
        <v>42245.026006944441</v>
      </c>
      <c r="T2919" s="9">
        <f t="shared" si="345"/>
        <v>42263.026006944441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42"/>
        <v>0.27239999999999998</v>
      </c>
      <c r="P2920">
        <f t="shared" si="343"/>
        <v>3181</v>
      </c>
      <c r="Q2920" t="str">
        <f t="shared" si="346"/>
        <v>theater</v>
      </c>
      <c r="R2920" t="str">
        <f t="shared" si="347"/>
        <v>plays</v>
      </c>
      <c r="S2920" s="9">
        <f t="shared" si="344"/>
        <v>42278.421377314815</v>
      </c>
      <c r="T2920" s="9">
        <f t="shared" si="345"/>
        <v>42306.421377314815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42"/>
        <v>8.5000000000000006E-2</v>
      </c>
      <c r="P2921">
        <f t="shared" si="343"/>
        <v>325.5</v>
      </c>
      <c r="Q2921" t="str">
        <f t="shared" si="346"/>
        <v>theater</v>
      </c>
      <c r="R2921" t="str">
        <f t="shared" si="347"/>
        <v>plays</v>
      </c>
      <c r="S2921" s="9">
        <f t="shared" si="344"/>
        <v>41826.411215277774</v>
      </c>
      <c r="T2921" s="9">
        <f t="shared" si="345"/>
        <v>41856.411215277774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42"/>
        <v>0.26840000000000003</v>
      </c>
      <c r="P2922">
        <f t="shared" si="343"/>
        <v>1585.5</v>
      </c>
      <c r="Q2922" t="str">
        <f t="shared" si="346"/>
        <v>theater</v>
      </c>
      <c r="R2922" t="str">
        <f t="shared" si="347"/>
        <v>plays</v>
      </c>
      <c r="S2922" s="9">
        <f t="shared" si="344"/>
        <v>42058.584143518521</v>
      </c>
      <c r="T2922" s="9">
        <f t="shared" si="345"/>
        <v>42088.54247685185</v>
      </c>
    </row>
    <row r="2923" spans="1:20" ht="29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42"/>
        <v>1.29</v>
      </c>
      <c r="P2923">
        <f t="shared" si="343"/>
        <v>114.5</v>
      </c>
      <c r="Q2923" t="str">
        <f>IF(N2923="theater/musical","theater")</f>
        <v>theater</v>
      </c>
      <c r="R2923" t="str">
        <f>IF(N2923="theater/musical","musical")</f>
        <v>musical</v>
      </c>
      <c r="S2923" s="9">
        <f t="shared" si="344"/>
        <v>41877.678287037037</v>
      </c>
      <c r="T2923" s="9">
        <f t="shared" si="345"/>
        <v>41907.678287037037</v>
      </c>
    </row>
    <row r="2924" spans="1:20" ht="43.5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42"/>
        <v>1</v>
      </c>
      <c r="P2924">
        <f t="shared" si="343"/>
        <v>500</v>
      </c>
      <c r="Q2924" t="str">
        <f t="shared" ref="Q2924:Q2942" si="348">IF(N2924="theater/musical","theater")</f>
        <v>theater</v>
      </c>
      <c r="R2924" t="str">
        <f t="shared" ref="R2924:R2942" si="349">IF(N2924="theater/musical","musical")</f>
        <v>musical</v>
      </c>
      <c r="S2924" s="9">
        <f t="shared" si="344"/>
        <v>42097.665821759256</v>
      </c>
      <c r="T2924" s="9">
        <f t="shared" si="345"/>
        <v>42142.665821759256</v>
      </c>
    </row>
    <row r="2925" spans="1:20" ht="29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42"/>
        <v>1</v>
      </c>
      <c r="P2925">
        <f t="shared" si="343"/>
        <v>300</v>
      </c>
      <c r="Q2925" t="str">
        <f t="shared" si="348"/>
        <v>theater</v>
      </c>
      <c r="R2925" t="str">
        <f t="shared" si="349"/>
        <v>musical</v>
      </c>
      <c r="S2925" s="9">
        <f t="shared" si="344"/>
        <v>42012.944201388884</v>
      </c>
      <c r="T2925" s="9">
        <f t="shared" si="345"/>
        <v>42027.916666666664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42"/>
        <v>1.032</v>
      </c>
      <c r="P2926">
        <f t="shared" si="343"/>
        <v>25400</v>
      </c>
      <c r="Q2926" t="str">
        <f t="shared" si="348"/>
        <v>theater</v>
      </c>
      <c r="R2926" t="str">
        <f t="shared" si="349"/>
        <v>musical</v>
      </c>
      <c r="S2926" s="9">
        <f t="shared" si="344"/>
        <v>42103.348495370366</v>
      </c>
      <c r="T2926" s="9">
        <f t="shared" si="345"/>
        <v>42132.957638888889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42"/>
        <v>1.0244597777777777</v>
      </c>
      <c r="P2927">
        <f t="shared" si="343"/>
        <v>45550.345000000001</v>
      </c>
      <c r="Q2927" t="str">
        <f t="shared" si="348"/>
        <v>theater</v>
      </c>
      <c r="R2927" t="str">
        <f t="shared" si="349"/>
        <v>musical</v>
      </c>
      <c r="S2927" s="9">
        <f t="shared" si="344"/>
        <v>41863.375787037039</v>
      </c>
      <c r="T2927" s="9">
        <f t="shared" si="345"/>
        <v>41893.375787037039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42"/>
        <v>1.25</v>
      </c>
      <c r="P2928">
        <f t="shared" si="343"/>
        <v>3375</v>
      </c>
      <c r="Q2928" t="str">
        <f t="shared" si="348"/>
        <v>theater</v>
      </c>
      <c r="R2928" t="str">
        <f t="shared" si="349"/>
        <v>musical</v>
      </c>
      <c r="S2928" s="9">
        <f t="shared" si="344"/>
        <v>42044.557627314811</v>
      </c>
      <c r="T2928" s="9">
        <f t="shared" si="345"/>
        <v>42058.557627314811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42"/>
        <v>1.3083333333333333</v>
      </c>
      <c r="P2929">
        <f t="shared" si="343"/>
        <v>2077.5</v>
      </c>
      <c r="Q2929" t="str">
        <f t="shared" si="348"/>
        <v>theater</v>
      </c>
      <c r="R2929" t="str">
        <f t="shared" si="349"/>
        <v>musical</v>
      </c>
      <c r="S2929" s="9">
        <f t="shared" si="344"/>
        <v>41806.460983796293</v>
      </c>
      <c r="T2929" s="9">
        <f t="shared" si="345"/>
        <v>41835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42"/>
        <v>1</v>
      </c>
      <c r="P2930">
        <f t="shared" si="343"/>
        <v>1000</v>
      </c>
      <c r="Q2930" t="str">
        <f t="shared" si="348"/>
        <v>theater</v>
      </c>
      <c r="R2930" t="str">
        <f t="shared" si="349"/>
        <v>musical</v>
      </c>
      <c r="S2930" s="9">
        <f t="shared" si="344"/>
        <v>42403.789884259262</v>
      </c>
      <c r="T2930" s="9">
        <f t="shared" si="345"/>
        <v>42433.789884259262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42"/>
        <v>1.02069375</v>
      </c>
      <c r="P2931">
        <f t="shared" si="343"/>
        <v>8082.7749999999996</v>
      </c>
      <c r="Q2931" t="str">
        <f t="shared" si="348"/>
        <v>theater</v>
      </c>
      <c r="R2931" t="str">
        <f t="shared" si="349"/>
        <v>musical</v>
      </c>
      <c r="S2931" s="9">
        <f t="shared" si="344"/>
        <v>41754.355995370366</v>
      </c>
      <c r="T2931" s="9">
        <f t="shared" si="345"/>
        <v>41784.355995370366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42"/>
        <v>1.0092000000000001</v>
      </c>
      <c r="P2932">
        <f t="shared" si="343"/>
        <v>10046</v>
      </c>
      <c r="Q2932" t="str">
        <f t="shared" si="348"/>
        <v>theater</v>
      </c>
      <c r="R2932" t="str">
        <f t="shared" si="349"/>
        <v>musical</v>
      </c>
      <c r="S2932" s="9">
        <f t="shared" si="344"/>
        <v>42101.375740740739</v>
      </c>
      <c r="T2932" s="9">
        <f t="shared" si="345"/>
        <v>42131.375740740739</v>
      </c>
    </row>
    <row r="2933" spans="1:20" ht="43.5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42"/>
        <v>1.06</v>
      </c>
      <c r="P2933">
        <f t="shared" si="343"/>
        <v>772.5</v>
      </c>
      <c r="Q2933" t="str">
        <f t="shared" si="348"/>
        <v>theater</v>
      </c>
      <c r="R2933" t="str">
        <f t="shared" si="349"/>
        <v>musical</v>
      </c>
      <c r="S2933" s="9">
        <f t="shared" si="344"/>
        <v>41872.082905092589</v>
      </c>
      <c r="T2933" s="9">
        <f t="shared" si="345"/>
        <v>41897.047222222223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42"/>
        <v>1.0509677419354839</v>
      </c>
      <c r="P2934">
        <f t="shared" si="343"/>
        <v>3179</v>
      </c>
      <c r="Q2934" t="str">
        <f t="shared" si="348"/>
        <v>theater</v>
      </c>
      <c r="R2934" t="str">
        <f t="shared" si="349"/>
        <v>musical</v>
      </c>
      <c r="S2934" s="9">
        <f t="shared" si="344"/>
        <v>42024.956446759257</v>
      </c>
      <c r="T2934" s="9">
        <f t="shared" si="345"/>
        <v>42056.249999999993</v>
      </c>
    </row>
    <row r="2935" spans="1:20" ht="43.5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42"/>
        <v>1.0276000000000001</v>
      </c>
      <c r="P2935">
        <f t="shared" si="343"/>
        <v>2534.5</v>
      </c>
      <c r="Q2935" t="str">
        <f t="shared" si="348"/>
        <v>theater</v>
      </c>
      <c r="R2935" t="str">
        <f t="shared" si="349"/>
        <v>musical</v>
      </c>
      <c r="S2935" s="9">
        <f t="shared" si="344"/>
        <v>42495.748298611106</v>
      </c>
      <c r="T2935" s="9">
        <f t="shared" si="345"/>
        <v>42525.748298611106</v>
      </c>
    </row>
    <row r="2936" spans="1:20" ht="29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42"/>
        <v>1.08</v>
      </c>
      <c r="P2936">
        <f t="shared" si="343"/>
        <v>2600</v>
      </c>
      <c r="Q2936" t="str">
        <f t="shared" si="348"/>
        <v>theater</v>
      </c>
      <c r="R2936" t="str">
        <f t="shared" si="349"/>
        <v>musical</v>
      </c>
      <c r="S2936" s="9">
        <f t="shared" si="344"/>
        <v>41775.427824074075</v>
      </c>
      <c r="T2936" s="9">
        <f t="shared" si="345"/>
        <v>41805.427824074075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42"/>
        <v>1.0088571428571429</v>
      </c>
      <c r="P2937">
        <f t="shared" si="343"/>
        <v>3515.5</v>
      </c>
      <c r="Q2937" t="str">
        <f t="shared" si="348"/>
        <v>theater</v>
      </c>
      <c r="R2937" t="str">
        <f t="shared" si="349"/>
        <v>musical</v>
      </c>
      <c r="S2937" s="9">
        <f t="shared" si="344"/>
        <v>42553.375092592592</v>
      </c>
      <c r="T2937" s="9">
        <f t="shared" si="345"/>
        <v>42611.499999999993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42"/>
        <v>1.28</v>
      </c>
      <c r="P2938">
        <f t="shared" si="343"/>
        <v>1140</v>
      </c>
      <c r="Q2938" t="str">
        <f t="shared" si="348"/>
        <v>theater</v>
      </c>
      <c r="R2938" t="str">
        <f t="shared" si="349"/>
        <v>musical</v>
      </c>
      <c r="S2938" s="9">
        <f t="shared" si="344"/>
        <v>41912.442395833328</v>
      </c>
      <c r="T2938" s="9">
        <f t="shared" si="345"/>
        <v>41924.999305555553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42"/>
        <v>1.3333333333333333</v>
      </c>
      <c r="P2939">
        <f t="shared" si="343"/>
        <v>1750</v>
      </c>
      <c r="Q2939" t="str">
        <f t="shared" si="348"/>
        <v>theater</v>
      </c>
      <c r="R2939" t="str">
        <f t="shared" si="349"/>
        <v>musical</v>
      </c>
      <c r="S2939" s="9">
        <f t="shared" si="344"/>
        <v>41803.248993055553</v>
      </c>
      <c r="T2939" s="9">
        <f t="shared" si="345"/>
        <v>41833.248993055553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42"/>
        <v>1.0137499999999999</v>
      </c>
      <c r="P2940">
        <f t="shared" si="343"/>
        <v>4027.5</v>
      </c>
      <c r="Q2940" t="str">
        <f t="shared" si="348"/>
        <v>theater</v>
      </c>
      <c r="R2940" t="str">
        <f t="shared" si="349"/>
        <v>musical</v>
      </c>
      <c r="S2940" s="9">
        <f t="shared" si="344"/>
        <v>42004.495532407404</v>
      </c>
      <c r="T2940" s="9">
        <f t="shared" si="345"/>
        <v>42034.495532407404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42"/>
        <v>1.0287500000000001</v>
      </c>
      <c r="P2941">
        <f t="shared" si="343"/>
        <v>8115</v>
      </c>
      <c r="Q2941" t="str">
        <f t="shared" si="348"/>
        <v>theater</v>
      </c>
      <c r="R2941" t="str">
        <f t="shared" si="349"/>
        <v>musical</v>
      </c>
      <c r="S2941" s="9">
        <f t="shared" si="344"/>
        <v>41845.60083333333</v>
      </c>
      <c r="T2941" s="9">
        <f t="shared" si="345"/>
        <v>41878.833333333328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42"/>
        <v>1.0724</v>
      </c>
      <c r="P2942">
        <f t="shared" si="343"/>
        <v>2590.5</v>
      </c>
      <c r="Q2942" t="str">
        <f t="shared" si="348"/>
        <v>theater</v>
      </c>
      <c r="R2942" t="str">
        <f t="shared" si="349"/>
        <v>musical</v>
      </c>
      <c r="S2942" s="9">
        <f t="shared" si="344"/>
        <v>41982.565023148149</v>
      </c>
      <c r="T2942" s="9">
        <f t="shared" si="345"/>
        <v>42022.565023148149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42"/>
        <v>4.0000000000000003E-5</v>
      </c>
      <c r="P2943">
        <f t="shared" si="343"/>
        <v>12500.5</v>
      </c>
      <c r="Q2943" t="str">
        <f>IF(N2943="theater/spaces","theater")</f>
        <v>theater</v>
      </c>
      <c r="R2943" t="str">
        <f>IF(N2943="theater/spaces","spaces")</f>
        <v>spaces</v>
      </c>
      <c r="S2943" s="9">
        <f t="shared" si="344"/>
        <v>42034.751793981479</v>
      </c>
      <c r="T2943" s="9">
        <f t="shared" si="345"/>
        <v>42064.751793981479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42"/>
        <v>0.20424999999999999</v>
      </c>
      <c r="P2944">
        <f t="shared" si="343"/>
        <v>120425</v>
      </c>
      <c r="Q2944" t="str">
        <f t="shared" ref="Q2944:Q2962" si="350">IF(N2944="theater/spaces","theater")</f>
        <v>theater</v>
      </c>
      <c r="R2944" t="str">
        <f t="shared" ref="R2944:R2962" si="351">IF(N2944="theater/spaces","spaces")</f>
        <v>spaces</v>
      </c>
      <c r="S2944" s="9">
        <f t="shared" si="344"/>
        <v>42334.595590277771</v>
      </c>
      <c r="T2944" s="9">
        <f t="shared" si="345"/>
        <v>42354.637499999997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42"/>
        <v>0</v>
      </c>
      <c r="P2945">
        <f t="shared" si="343"/>
        <v>1500</v>
      </c>
      <c r="Q2945" t="str">
        <f t="shared" si="350"/>
        <v>theater</v>
      </c>
      <c r="R2945" t="str">
        <f t="shared" si="351"/>
        <v>spaces</v>
      </c>
      <c r="S2945" s="9">
        <f t="shared" si="344"/>
        <v>42076.921064814807</v>
      </c>
      <c r="T2945" s="9">
        <f t="shared" si="345"/>
        <v>42106.921064814807</v>
      </c>
    </row>
    <row r="2946" spans="1:20" ht="29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42"/>
        <v>0.01</v>
      </c>
      <c r="P2946">
        <f t="shared" si="343"/>
        <v>5050</v>
      </c>
      <c r="Q2946" t="str">
        <f t="shared" si="350"/>
        <v>theater</v>
      </c>
      <c r="R2946" t="str">
        <f t="shared" si="351"/>
        <v>spaces</v>
      </c>
      <c r="S2946" s="9">
        <f t="shared" si="344"/>
        <v>42132.705995370365</v>
      </c>
      <c r="T2946" s="9">
        <f t="shared" si="345"/>
        <v>42162.705995370365</v>
      </c>
    </row>
    <row r="2947" spans="1:20" ht="43.5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352">E2947/D2947</f>
        <v>0</v>
      </c>
      <c r="P2947">
        <f t="shared" ref="P2947:P3010" si="353">AVERAGE(D2947:E2947)</f>
        <v>25000</v>
      </c>
      <c r="Q2947" t="str">
        <f t="shared" si="350"/>
        <v>theater</v>
      </c>
      <c r="R2947" t="str">
        <f t="shared" si="351"/>
        <v>spaces</v>
      </c>
      <c r="S2947" s="9">
        <f t="shared" ref="S2947:S3010" si="354">J2947/86400+25569+(-5/24)</f>
        <v>42117.931250000001</v>
      </c>
      <c r="T2947" s="9">
        <f t="shared" si="345"/>
        <v>42147.931250000001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52"/>
        <v>1E-3</v>
      </c>
      <c r="P2948">
        <f t="shared" si="353"/>
        <v>1001</v>
      </c>
      <c r="Q2948" t="str">
        <f t="shared" si="350"/>
        <v>theater</v>
      </c>
      <c r="R2948" t="str">
        <f t="shared" si="351"/>
        <v>spaces</v>
      </c>
      <c r="S2948" s="9">
        <f t="shared" si="354"/>
        <v>42567.322824074072</v>
      </c>
      <c r="T2948" s="9">
        <f t="shared" ref="T2948:T3011" si="355">I2948/86400+25569+(-5/24)</f>
        <v>42597.322824074072</v>
      </c>
    </row>
    <row r="2949" spans="1:20" ht="43.5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52"/>
        <v>4.2880000000000001E-2</v>
      </c>
      <c r="P2949">
        <f t="shared" si="353"/>
        <v>13036</v>
      </c>
      <c r="Q2949" t="str">
        <f t="shared" si="350"/>
        <v>theater</v>
      </c>
      <c r="R2949" t="str">
        <f t="shared" si="351"/>
        <v>spaces</v>
      </c>
      <c r="S2949" s="9">
        <f t="shared" si="354"/>
        <v>42649.353784722225</v>
      </c>
      <c r="T2949" s="9">
        <f t="shared" si="355"/>
        <v>42698.507638888885</v>
      </c>
    </row>
    <row r="2950" spans="1:20" ht="43.5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52"/>
        <v>4.8000000000000001E-5</v>
      </c>
      <c r="P2950">
        <f t="shared" si="353"/>
        <v>250012</v>
      </c>
      <c r="Q2950" t="str">
        <f t="shared" si="350"/>
        <v>theater</v>
      </c>
      <c r="R2950" t="str">
        <f t="shared" si="351"/>
        <v>spaces</v>
      </c>
      <c r="S2950" s="9">
        <f t="shared" si="354"/>
        <v>42097.440891203696</v>
      </c>
      <c r="T2950" s="9">
        <f t="shared" si="355"/>
        <v>42157.440891203696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52"/>
        <v>2.5000000000000001E-2</v>
      </c>
      <c r="P2951">
        <f t="shared" si="353"/>
        <v>512.5</v>
      </c>
      <c r="Q2951" t="str">
        <f t="shared" si="350"/>
        <v>theater</v>
      </c>
      <c r="R2951" t="str">
        <f t="shared" si="351"/>
        <v>spaces</v>
      </c>
      <c r="S2951" s="9">
        <f t="shared" si="354"/>
        <v>42297.61478009259</v>
      </c>
      <c r="T2951" s="9">
        <f t="shared" si="355"/>
        <v>42327.656446759262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52"/>
        <v>0</v>
      </c>
      <c r="P2952">
        <f t="shared" si="353"/>
        <v>2500000</v>
      </c>
      <c r="Q2952" t="str">
        <f t="shared" si="350"/>
        <v>theater</v>
      </c>
      <c r="R2952" t="str">
        <f t="shared" si="351"/>
        <v>spaces</v>
      </c>
      <c r="S2952" s="9">
        <f t="shared" si="354"/>
        <v>42362.156851851854</v>
      </c>
      <c r="T2952" s="9">
        <f t="shared" si="355"/>
        <v>42392.156851851854</v>
      </c>
    </row>
    <row r="2953" spans="1:20" ht="43.5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52"/>
        <v>2.1919999999999999E-2</v>
      </c>
      <c r="P2953">
        <f t="shared" si="353"/>
        <v>25548</v>
      </c>
      <c r="Q2953" t="str">
        <f t="shared" si="350"/>
        <v>theater</v>
      </c>
      <c r="R2953" t="str">
        <f t="shared" si="351"/>
        <v>spaces</v>
      </c>
      <c r="S2953" s="9">
        <f t="shared" si="354"/>
        <v>41872.594594907401</v>
      </c>
      <c r="T2953" s="9">
        <f t="shared" si="355"/>
        <v>41917.594594907401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52"/>
        <v>8.0250000000000002E-2</v>
      </c>
      <c r="P2954">
        <f t="shared" si="353"/>
        <v>10802.5</v>
      </c>
      <c r="Q2954" t="str">
        <f t="shared" si="350"/>
        <v>theater</v>
      </c>
      <c r="R2954" t="str">
        <f t="shared" si="351"/>
        <v>spaces</v>
      </c>
      <c r="S2954" s="9">
        <f t="shared" si="354"/>
        <v>42628.481932870367</v>
      </c>
      <c r="T2954" s="9">
        <f t="shared" si="355"/>
        <v>42659.958333333336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52"/>
        <v>1.5125E-3</v>
      </c>
      <c r="P2955">
        <f t="shared" si="353"/>
        <v>200302.5</v>
      </c>
      <c r="Q2955" t="str">
        <f t="shared" si="350"/>
        <v>theater</v>
      </c>
      <c r="R2955" t="str">
        <f t="shared" si="351"/>
        <v>spaces</v>
      </c>
      <c r="S2955" s="9">
        <f t="shared" si="354"/>
        <v>42255.583576388883</v>
      </c>
      <c r="T2955" s="9">
        <f t="shared" si="355"/>
        <v>42285.583576388883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52"/>
        <v>0</v>
      </c>
      <c r="P2956">
        <f t="shared" si="353"/>
        <v>7500</v>
      </c>
      <c r="Q2956" t="str">
        <f t="shared" si="350"/>
        <v>theater</v>
      </c>
      <c r="R2956" t="str">
        <f t="shared" si="351"/>
        <v>spaces</v>
      </c>
      <c r="S2956" s="9">
        <f t="shared" si="354"/>
        <v>42790.375034722216</v>
      </c>
      <c r="T2956" s="9">
        <f t="shared" si="355"/>
        <v>42810.333368055552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52"/>
        <v>0.59583333333333333</v>
      </c>
      <c r="P2957">
        <f t="shared" si="353"/>
        <v>957.5</v>
      </c>
      <c r="Q2957" t="str">
        <f t="shared" si="350"/>
        <v>theater</v>
      </c>
      <c r="R2957" t="str">
        <f t="shared" si="351"/>
        <v>spaces</v>
      </c>
      <c r="S2957" s="9">
        <f t="shared" si="354"/>
        <v>42141.532974537033</v>
      </c>
      <c r="T2957" s="9">
        <f t="shared" si="355"/>
        <v>42171.532974537033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52"/>
        <v>0.16734177215189874</v>
      </c>
      <c r="P2958">
        <f t="shared" si="353"/>
        <v>4611</v>
      </c>
      <c r="Q2958" t="str">
        <f t="shared" si="350"/>
        <v>theater</v>
      </c>
      <c r="R2958" t="str">
        <f t="shared" si="351"/>
        <v>spaces</v>
      </c>
      <c r="S2958" s="9">
        <f t="shared" si="354"/>
        <v>42464.750578703701</v>
      </c>
      <c r="T2958" s="9">
        <f t="shared" si="355"/>
        <v>42494.750578703701</v>
      </c>
    </row>
    <row r="2959" spans="1:20" ht="29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52"/>
        <v>1.8666666666666668E-2</v>
      </c>
      <c r="P2959">
        <f t="shared" si="353"/>
        <v>7640</v>
      </c>
      <c r="Q2959" t="str">
        <f t="shared" si="350"/>
        <v>theater</v>
      </c>
      <c r="R2959" t="str">
        <f t="shared" si="351"/>
        <v>spaces</v>
      </c>
      <c r="S2959" s="9">
        <f t="shared" si="354"/>
        <v>42030.80291666666</v>
      </c>
      <c r="T2959" s="9">
        <f t="shared" si="355"/>
        <v>42090.761249999996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52"/>
        <v>0</v>
      </c>
      <c r="P2960">
        <f t="shared" si="353"/>
        <v>40000</v>
      </c>
      <c r="Q2960" t="str">
        <f t="shared" si="350"/>
        <v>theater</v>
      </c>
      <c r="R2960" t="str">
        <f t="shared" si="351"/>
        <v>spaces</v>
      </c>
      <c r="S2960" s="9">
        <f t="shared" si="354"/>
        <v>42438.570798611108</v>
      </c>
      <c r="T2960" s="9">
        <f t="shared" si="355"/>
        <v>42498.529131944444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52"/>
        <v>0</v>
      </c>
      <c r="P2961">
        <f t="shared" si="353"/>
        <v>5000</v>
      </c>
      <c r="Q2961" t="str">
        <f t="shared" si="350"/>
        <v>theater</v>
      </c>
      <c r="R2961" t="str">
        <f t="shared" si="351"/>
        <v>spaces</v>
      </c>
      <c r="S2961" s="9">
        <f t="shared" si="354"/>
        <v>42497.800057870372</v>
      </c>
      <c r="T2961" s="9">
        <f t="shared" si="355"/>
        <v>42527.800057870372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52"/>
        <v>0</v>
      </c>
      <c r="P2962">
        <f t="shared" si="353"/>
        <v>15000000</v>
      </c>
      <c r="Q2962" t="str">
        <f t="shared" si="350"/>
        <v>theater</v>
      </c>
      <c r="R2962" t="str">
        <f t="shared" si="351"/>
        <v>spaces</v>
      </c>
      <c r="S2962" s="9">
        <f t="shared" si="354"/>
        <v>41863.54887731481</v>
      </c>
      <c r="T2962" s="9">
        <f t="shared" si="355"/>
        <v>41893.54887731481</v>
      </c>
    </row>
    <row r="2963" spans="1:20" ht="43.5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52"/>
        <v>1.0962000000000001</v>
      </c>
      <c r="P2963">
        <f t="shared" si="353"/>
        <v>5240.5</v>
      </c>
      <c r="Q2963" t="str">
        <f>IF(N2963="theater/plays","theater")</f>
        <v>theater</v>
      </c>
      <c r="R2963" t="str">
        <f>IF(N2963="theater/plays","plays")</f>
        <v>plays</v>
      </c>
      <c r="S2963" s="9">
        <f t="shared" si="354"/>
        <v>42061.004155092589</v>
      </c>
      <c r="T2963" s="9">
        <f t="shared" si="355"/>
        <v>42088.958333333336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52"/>
        <v>1.218</v>
      </c>
      <c r="P2964">
        <f t="shared" si="353"/>
        <v>1109</v>
      </c>
      <c r="Q2964" t="str">
        <f t="shared" ref="Q2964:Q2982" si="356">IF(N2964="theater/plays","theater")</f>
        <v>theater</v>
      </c>
      <c r="R2964" t="str">
        <f t="shared" ref="R2964:R2982" si="357">IF(N2964="theater/plays","plays")</f>
        <v>plays</v>
      </c>
      <c r="S2964" s="9">
        <f t="shared" si="354"/>
        <v>42036.035949074074</v>
      </c>
      <c r="T2964" s="9">
        <f t="shared" si="355"/>
        <v>42064.082638888889</v>
      </c>
    </row>
    <row r="2965" spans="1:20" ht="43.5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52"/>
        <v>1.0685</v>
      </c>
      <c r="P2965">
        <f t="shared" si="353"/>
        <v>10342.5</v>
      </c>
      <c r="Q2965" t="str">
        <f t="shared" si="356"/>
        <v>theater</v>
      </c>
      <c r="R2965" t="str">
        <f t="shared" si="357"/>
        <v>plays</v>
      </c>
      <c r="S2965" s="9">
        <f t="shared" si="354"/>
        <v>42157.26185185185</v>
      </c>
      <c r="T2965" s="9">
        <f t="shared" si="355"/>
        <v>42187.26185185185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52"/>
        <v>1.0071379999999999</v>
      </c>
      <c r="P2966">
        <f t="shared" si="353"/>
        <v>5017.8449999999993</v>
      </c>
      <c r="Q2966" t="str">
        <f t="shared" si="356"/>
        <v>theater</v>
      </c>
      <c r="R2966" t="str">
        <f t="shared" si="357"/>
        <v>plays</v>
      </c>
      <c r="S2966" s="9">
        <f t="shared" si="354"/>
        <v>41827.701608796291</v>
      </c>
      <c r="T2966" s="9">
        <f t="shared" si="355"/>
        <v>41857.688888888886</v>
      </c>
    </row>
    <row r="2967" spans="1:20" ht="43.5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52"/>
        <v>1.0900000000000001</v>
      </c>
      <c r="P2967">
        <f t="shared" si="353"/>
        <v>1567.5</v>
      </c>
      <c r="Q2967" t="str">
        <f t="shared" si="356"/>
        <v>theater</v>
      </c>
      <c r="R2967" t="str">
        <f t="shared" si="357"/>
        <v>plays</v>
      </c>
      <c r="S2967" s="9">
        <f t="shared" si="354"/>
        <v>42162.521215277775</v>
      </c>
      <c r="T2967" s="9">
        <f t="shared" si="355"/>
        <v>42192.521215277775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52"/>
        <v>1.1363000000000001</v>
      </c>
      <c r="P2968">
        <f t="shared" si="353"/>
        <v>10681.5</v>
      </c>
      <c r="Q2968" t="str">
        <f t="shared" si="356"/>
        <v>theater</v>
      </c>
      <c r="R2968" t="str">
        <f t="shared" si="357"/>
        <v>plays</v>
      </c>
      <c r="S2968" s="9">
        <f t="shared" si="354"/>
        <v>42233.530231481483</v>
      </c>
      <c r="T2968" s="9">
        <f t="shared" si="355"/>
        <v>42263.530231481483</v>
      </c>
    </row>
    <row r="2969" spans="1:20" ht="29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52"/>
        <v>1.1392</v>
      </c>
      <c r="P2969">
        <f t="shared" si="353"/>
        <v>5348</v>
      </c>
      <c r="Q2969" t="str">
        <f t="shared" si="356"/>
        <v>theater</v>
      </c>
      <c r="R2969" t="str">
        <f t="shared" si="357"/>
        <v>plays</v>
      </c>
      <c r="S2969" s="9">
        <f t="shared" si="354"/>
        <v>42041.989490740736</v>
      </c>
      <c r="T2969" s="9">
        <f t="shared" si="355"/>
        <v>42071.947824074072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52"/>
        <v>1.06</v>
      </c>
      <c r="P2970">
        <f t="shared" si="353"/>
        <v>3605</v>
      </c>
      <c r="Q2970" t="str">
        <f t="shared" si="356"/>
        <v>theater</v>
      </c>
      <c r="R2970" t="str">
        <f t="shared" si="357"/>
        <v>plays</v>
      </c>
      <c r="S2970" s="9">
        <f t="shared" si="354"/>
        <v>42585.315509259257</v>
      </c>
      <c r="T2970" s="9">
        <f t="shared" si="355"/>
        <v>42598.957638888889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52"/>
        <v>1.625</v>
      </c>
      <c r="P2971">
        <f t="shared" si="353"/>
        <v>1312.5</v>
      </c>
      <c r="Q2971" t="str">
        <f t="shared" si="356"/>
        <v>theater</v>
      </c>
      <c r="R2971" t="str">
        <f t="shared" si="357"/>
        <v>plays</v>
      </c>
      <c r="S2971" s="9">
        <f t="shared" si="354"/>
        <v>42097.578159722216</v>
      </c>
      <c r="T2971" s="9">
        <f t="shared" si="355"/>
        <v>42127.743750000001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52"/>
        <v>1.06</v>
      </c>
      <c r="P2972">
        <f t="shared" si="353"/>
        <v>6180</v>
      </c>
      <c r="Q2972" t="str">
        <f t="shared" si="356"/>
        <v>theater</v>
      </c>
      <c r="R2972" t="str">
        <f t="shared" si="357"/>
        <v>plays</v>
      </c>
      <c r="S2972" s="9">
        <f t="shared" si="354"/>
        <v>41808.461238425924</v>
      </c>
      <c r="T2972" s="9">
        <f t="shared" si="355"/>
        <v>41838.461238425924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52"/>
        <v>1.0015624999999999</v>
      </c>
      <c r="P2973">
        <f t="shared" si="353"/>
        <v>3202.5</v>
      </c>
      <c r="Q2973" t="str">
        <f t="shared" si="356"/>
        <v>theater</v>
      </c>
      <c r="R2973" t="str">
        <f t="shared" si="357"/>
        <v>plays</v>
      </c>
      <c r="S2973" s="9">
        <f t="shared" si="354"/>
        <v>41852.449976851851</v>
      </c>
      <c r="T2973" s="9">
        <f t="shared" si="355"/>
        <v>41882.449976851851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52"/>
        <v>1.0535000000000001</v>
      </c>
      <c r="P2974">
        <f t="shared" si="353"/>
        <v>2053.5</v>
      </c>
      <c r="Q2974" t="str">
        <f t="shared" si="356"/>
        <v>theater</v>
      </c>
      <c r="R2974" t="str">
        <f t="shared" si="357"/>
        <v>plays</v>
      </c>
      <c r="S2974" s="9">
        <f t="shared" si="354"/>
        <v>42693.90185185185</v>
      </c>
      <c r="T2974" s="9">
        <f t="shared" si="355"/>
        <v>42708.833333333336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52"/>
        <v>1.748</v>
      </c>
      <c r="P2975">
        <f t="shared" si="353"/>
        <v>6870</v>
      </c>
      <c r="Q2975" t="str">
        <f t="shared" si="356"/>
        <v>theater</v>
      </c>
      <c r="R2975" t="str">
        <f t="shared" si="357"/>
        <v>plays</v>
      </c>
      <c r="S2975" s="9">
        <f t="shared" si="354"/>
        <v>42341.610046296293</v>
      </c>
      <c r="T2975" s="9">
        <f t="shared" si="355"/>
        <v>42369.958333333336</v>
      </c>
    </row>
    <row r="2976" spans="1:20" ht="43.5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52"/>
        <v>1.02</v>
      </c>
      <c r="P2976">
        <f t="shared" si="353"/>
        <v>5050</v>
      </c>
      <c r="Q2976" t="str">
        <f t="shared" si="356"/>
        <v>theater</v>
      </c>
      <c r="R2976" t="str">
        <f t="shared" si="357"/>
        <v>plays</v>
      </c>
      <c r="S2976" s="9">
        <f t="shared" si="354"/>
        <v>41879.852673611109</v>
      </c>
      <c r="T2976" s="9">
        <f t="shared" si="355"/>
        <v>41907.857638888883</v>
      </c>
    </row>
    <row r="2977" spans="1:20" ht="43.5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52"/>
        <v>1.00125</v>
      </c>
      <c r="P2977">
        <f t="shared" si="353"/>
        <v>8005</v>
      </c>
      <c r="Q2977" t="str">
        <f t="shared" si="356"/>
        <v>theater</v>
      </c>
      <c r="R2977" t="str">
        <f t="shared" si="357"/>
        <v>plays</v>
      </c>
      <c r="S2977" s="9">
        <f t="shared" si="354"/>
        <v>41941.475532407407</v>
      </c>
      <c r="T2977" s="9">
        <f t="shared" si="355"/>
        <v>41969.916666666664</v>
      </c>
    </row>
    <row r="2978" spans="1:20" ht="29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52"/>
        <v>1.7142857142857142</v>
      </c>
      <c r="P2978">
        <f t="shared" si="353"/>
        <v>95</v>
      </c>
      <c r="Q2978" t="str">
        <f t="shared" si="356"/>
        <v>theater</v>
      </c>
      <c r="R2978" t="str">
        <f t="shared" si="357"/>
        <v>plays</v>
      </c>
      <c r="S2978" s="9">
        <f t="shared" si="354"/>
        <v>42425.522337962961</v>
      </c>
      <c r="T2978" s="9">
        <f t="shared" si="355"/>
        <v>42442.291666666664</v>
      </c>
    </row>
    <row r="2979" spans="1:20" ht="43.5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52"/>
        <v>1.1356666666666666</v>
      </c>
      <c r="P2979">
        <f t="shared" si="353"/>
        <v>3203.5</v>
      </c>
      <c r="Q2979" t="str">
        <f t="shared" si="356"/>
        <v>theater</v>
      </c>
      <c r="R2979" t="str">
        <f t="shared" si="357"/>
        <v>plays</v>
      </c>
      <c r="S2979" s="9">
        <f t="shared" si="354"/>
        <v>42026.672847222224</v>
      </c>
      <c r="T2979" s="9">
        <f t="shared" si="355"/>
        <v>42085.884722222218</v>
      </c>
    </row>
    <row r="2980" spans="1:20" ht="43.5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52"/>
        <v>1.2946666666666666</v>
      </c>
      <c r="P2980">
        <f t="shared" si="353"/>
        <v>860.5</v>
      </c>
      <c r="Q2980" t="str">
        <f t="shared" si="356"/>
        <v>theater</v>
      </c>
      <c r="R2980" t="str">
        <f t="shared" si="357"/>
        <v>plays</v>
      </c>
      <c r="S2980" s="9">
        <f t="shared" si="354"/>
        <v>41922.432256944441</v>
      </c>
      <c r="T2980" s="9">
        <f t="shared" si="355"/>
        <v>41932.040972222218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52"/>
        <v>1.014</v>
      </c>
      <c r="P2981">
        <f t="shared" si="353"/>
        <v>5035</v>
      </c>
      <c r="Q2981" t="str">
        <f t="shared" si="356"/>
        <v>theater</v>
      </c>
      <c r="R2981" t="str">
        <f t="shared" si="357"/>
        <v>plays</v>
      </c>
      <c r="S2981" s="9">
        <f t="shared" si="354"/>
        <v>41993.616006944438</v>
      </c>
      <c r="T2981" s="9">
        <f t="shared" si="355"/>
        <v>42010.041666666664</v>
      </c>
    </row>
    <row r="2982" spans="1:20" ht="29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52"/>
        <v>1.0916666666666666</v>
      </c>
      <c r="P2982">
        <f t="shared" si="353"/>
        <v>3137.5</v>
      </c>
      <c r="Q2982" t="str">
        <f t="shared" si="356"/>
        <v>theater</v>
      </c>
      <c r="R2982" t="str">
        <f t="shared" si="357"/>
        <v>plays</v>
      </c>
      <c r="S2982" s="9">
        <f t="shared" si="354"/>
        <v>42219.70752314815</v>
      </c>
      <c r="T2982" s="9">
        <f t="shared" si="355"/>
        <v>42239.874999999993</v>
      </c>
    </row>
    <row r="2983" spans="1:20" ht="43.5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52"/>
        <v>1.28925</v>
      </c>
      <c r="P2983">
        <f t="shared" si="353"/>
        <v>4578.5</v>
      </c>
      <c r="Q2983" t="str">
        <f>IF(N2983="theater/spaces","theater")</f>
        <v>theater</v>
      </c>
      <c r="R2983" t="str">
        <f>IF(N2983="theater/spaces","spaces")</f>
        <v>spaces</v>
      </c>
      <c r="S2983" s="9">
        <f t="shared" si="354"/>
        <v>42225.351342592585</v>
      </c>
      <c r="T2983" s="9">
        <f t="shared" si="355"/>
        <v>42270.351342592585</v>
      </c>
    </row>
    <row r="2984" spans="1:20" ht="29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52"/>
        <v>1.0206</v>
      </c>
      <c r="P2984">
        <f t="shared" si="353"/>
        <v>5051.5</v>
      </c>
      <c r="Q2984" t="str">
        <f t="shared" ref="Q2984:Q3047" si="358">IF(N2984="theater/spaces","theater")</f>
        <v>theater</v>
      </c>
      <c r="R2984" t="str">
        <f t="shared" ref="R2984:R3047" si="359">IF(N2984="theater/spaces","spaces")</f>
        <v>spaces</v>
      </c>
      <c r="S2984" s="9">
        <f t="shared" si="354"/>
        <v>42381.478506944441</v>
      </c>
      <c r="T2984" s="9">
        <f t="shared" si="355"/>
        <v>42411.478506944441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52"/>
        <v>1.465395775862069</v>
      </c>
      <c r="P2985">
        <f t="shared" si="353"/>
        <v>142992.95500000002</v>
      </c>
      <c r="Q2985" t="str">
        <f t="shared" si="358"/>
        <v>theater</v>
      </c>
      <c r="R2985" t="str">
        <f t="shared" si="359"/>
        <v>spaces</v>
      </c>
      <c r="S2985" s="9">
        <f t="shared" si="354"/>
        <v>41894.424027777779</v>
      </c>
      <c r="T2985" s="9">
        <f t="shared" si="355"/>
        <v>41954.465694444443</v>
      </c>
    </row>
    <row r="2986" spans="1:20" ht="43.5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52"/>
        <v>1.00352</v>
      </c>
      <c r="P2986">
        <f t="shared" si="353"/>
        <v>25044</v>
      </c>
      <c r="Q2986" t="str">
        <f t="shared" si="358"/>
        <v>theater</v>
      </c>
      <c r="R2986" t="str">
        <f t="shared" si="359"/>
        <v>spaces</v>
      </c>
      <c r="S2986" s="9">
        <f t="shared" si="354"/>
        <v>42576.070381944439</v>
      </c>
      <c r="T2986" s="9">
        <f t="shared" si="355"/>
        <v>42606.070381944439</v>
      </c>
    </row>
    <row r="2987" spans="1:20" ht="43.5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52"/>
        <v>1.2164999999999999</v>
      </c>
      <c r="P2987">
        <f t="shared" si="353"/>
        <v>11082.5</v>
      </c>
      <c r="Q2987" t="str">
        <f t="shared" si="358"/>
        <v>theater</v>
      </c>
      <c r="R2987" t="str">
        <f t="shared" si="359"/>
        <v>spaces</v>
      </c>
      <c r="S2987" s="9">
        <f t="shared" si="354"/>
        <v>42654.765370370369</v>
      </c>
      <c r="T2987" s="9">
        <f t="shared" si="355"/>
        <v>42673.958333333336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52"/>
        <v>1.0549999999999999</v>
      </c>
      <c r="P2988">
        <f t="shared" si="353"/>
        <v>2466</v>
      </c>
      <c r="Q2988" t="str">
        <f t="shared" si="358"/>
        <v>theater</v>
      </c>
      <c r="R2988" t="str">
        <f t="shared" si="359"/>
        <v>spaces</v>
      </c>
      <c r="S2988" s="9">
        <f t="shared" si="354"/>
        <v>42431.29173611111</v>
      </c>
      <c r="T2988" s="9">
        <f t="shared" si="355"/>
        <v>42491.250069444439</v>
      </c>
    </row>
    <row r="2989" spans="1:20" ht="43.5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52"/>
        <v>1.1040080000000001</v>
      </c>
      <c r="P2989">
        <f t="shared" si="353"/>
        <v>26300.1</v>
      </c>
      <c r="Q2989" t="str">
        <f t="shared" si="358"/>
        <v>theater</v>
      </c>
      <c r="R2989" t="str">
        <f t="shared" si="359"/>
        <v>spaces</v>
      </c>
      <c r="S2989" s="9">
        <f t="shared" si="354"/>
        <v>42627.098969907405</v>
      </c>
      <c r="T2989" s="9">
        <f t="shared" si="355"/>
        <v>42655.791666666664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52"/>
        <v>1</v>
      </c>
      <c r="P2990">
        <f t="shared" si="353"/>
        <v>1000</v>
      </c>
      <c r="Q2990" t="str">
        <f t="shared" si="358"/>
        <v>theater</v>
      </c>
      <c r="R2990" t="str">
        <f t="shared" si="359"/>
        <v>spaces</v>
      </c>
      <c r="S2990" s="9">
        <f t="shared" si="354"/>
        <v>42511.153715277775</v>
      </c>
      <c r="T2990" s="9">
        <f t="shared" si="355"/>
        <v>42541.153715277775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52"/>
        <v>1.76535</v>
      </c>
      <c r="P2991">
        <f t="shared" si="353"/>
        <v>27653.5</v>
      </c>
      <c r="Q2991" t="str">
        <f t="shared" si="358"/>
        <v>theater</v>
      </c>
      <c r="R2991" t="str">
        <f t="shared" si="359"/>
        <v>spaces</v>
      </c>
      <c r="S2991" s="9">
        <f t="shared" si="354"/>
        <v>42336.812060185184</v>
      </c>
      <c r="T2991" s="9">
        <f t="shared" si="355"/>
        <v>42358.999305555553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52"/>
        <v>1</v>
      </c>
      <c r="P2992">
        <f t="shared" si="353"/>
        <v>10000</v>
      </c>
      <c r="Q2992" t="str">
        <f t="shared" si="358"/>
        <v>theater</v>
      </c>
      <c r="R2992" t="str">
        <f t="shared" si="359"/>
        <v>spaces</v>
      </c>
      <c r="S2992" s="9">
        <f t="shared" si="354"/>
        <v>42341.365972222215</v>
      </c>
      <c r="T2992" s="9">
        <f t="shared" si="355"/>
        <v>42376.365972222215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52"/>
        <v>1.0329411764705883</v>
      </c>
      <c r="P2993">
        <f t="shared" si="353"/>
        <v>8640</v>
      </c>
      <c r="Q2993" t="str">
        <f t="shared" si="358"/>
        <v>theater</v>
      </c>
      <c r="R2993" t="str">
        <f t="shared" si="359"/>
        <v>spaces</v>
      </c>
      <c r="S2993" s="9">
        <f t="shared" si="354"/>
        <v>42740.628819444442</v>
      </c>
      <c r="T2993" s="9">
        <f t="shared" si="355"/>
        <v>42762.628819444442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52"/>
        <v>1.0449999999999999</v>
      </c>
      <c r="P2994">
        <f t="shared" si="353"/>
        <v>3067.5</v>
      </c>
      <c r="Q2994" t="str">
        <f t="shared" si="358"/>
        <v>theater</v>
      </c>
      <c r="R2994" t="str">
        <f t="shared" si="359"/>
        <v>spaces</v>
      </c>
      <c r="S2994" s="9">
        <f t="shared" si="354"/>
        <v>42622.559143518512</v>
      </c>
      <c r="T2994" s="9">
        <f t="shared" si="355"/>
        <v>42652.559143518512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52"/>
        <v>1.0029999999999999</v>
      </c>
      <c r="P2995">
        <f t="shared" si="353"/>
        <v>1001.5</v>
      </c>
      <c r="Q2995" t="str">
        <f t="shared" si="358"/>
        <v>theater</v>
      </c>
      <c r="R2995" t="str">
        <f t="shared" si="359"/>
        <v>spaces</v>
      </c>
      <c r="S2995" s="9">
        <f t="shared" si="354"/>
        <v>42390.63040509259</v>
      </c>
      <c r="T2995" s="9">
        <f t="shared" si="355"/>
        <v>42420.63040509259</v>
      </c>
    </row>
    <row r="2996" spans="1:20" ht="29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52"/>
        <v>4.577466666666667</v>
      </c>
      <c r="P2996">
        <f t="shared" si="353"/>
        <v>836.62</v>
      </c>
      <c r="Q2996" t="str">
        <f t="shared" si="358"/>
        <v>theater</v>
      </c>
      <c r="R2996" t="str">
        <f t="shared" si="359"/>
        <v>spaces</v>
      </c>
      <c r="S2996" s="9">
        <f t="shared" si="354"/>
        <v>41885.270509259259</v>
      </c>
      <c r="T2996" s="9">
        <f t="shared" si="355"/>
        <v>41915.270509259259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52"/>
        <v>1.0496000000000001</v>
      </c>
      <c r="P2997">
        <f t="shared" si="353"/>
        <v>15372</v>
      </c>
      <c r="Q2997" t="str">
        <f t="shared" si="358"/>
        <v>theater</v>
      </c>
      <c r="R2997" t="str">
        <f t="shared" si="359"/>
        <v>spaces</v>
      </c>
      <c r="S2997" s="9">
        <f t="shared" si="354"/>
        <v>42724.456840277773</v>
      </c>
      <c r="T2997" s="9">
        <f t="shared" si="355"/>
        <v>42754.456840277773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52"/>
        <v>1.7194285714285715</v>
      </c>
      <c r="P2998">
        <f t="shared" si="353"/>
        <v>47590</v>
      </c>
      <c r="Q2998" t="str">
        <f t="shared" si="358"/>
        <v>theater</v>
      </c>
      <c r="R2998" t="str">
        <f t="shared" si="359"/>
        <v>spaces</v>
      </c>
      <c r="S2998" s="9">
        <f t="shared" si="354"/>
        <v>42090.704166666663</v>
      </c>
      <c r="T2998" s="9">
        <f t="shared" si="355"/>
        <v>42150.704166666663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52"/>
        <v>1.0373000000000001</v>
      </c>
      <c r="P2999">
        <f t="shared" si="353"/>
        <v>10186.5</v>
      </c>
      <c r="Q2999" t="str">
        <f t="shared" si="358"/>
        <v>theater</v>
      </c>
      <c r="R2999" t="str">
        <f t="shared" si="359"/>
        <v>spaces</v>
      </c>
      <c r="S2999" s="9">
        <f t="shared" si="354"/>
        <v>42775.525381944441</v>
      </c>
      <c r="T2999" s="9">
        <f t="shared" si="355"/>
        <v>42792.999305555553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52"/>
        <v>1.0302899999999999</v>
      </c>
      <c r="P3000">
        <f t="shared" si="353"/>
        <v>50757.25</v>
      </c>
      <c r="Q3000" t="str">
        <f t="shared" si="358"/>
        <v>theater</v>
      </c>
      <c r="R3000" t="str">
        <f t="shared" si="359"/>
        <v>spaces</v>
      </c>
      <c r="S3000" s="9">
        <f t="shared" si="354"/>
        <v>41777.985289351847</v>
      </c>
      <c r="T3000" s="9">
        <f t="shared" si="355"/>
        <v>41805.975694444445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52"/>
        <v>1.1888888888888889</v>
      </c>
      <c r="P3001">
        <f t="shared" si="353"/>
        <v>1477.5</v>
      </c>
      <c r="Q3001" t="str">
        <f t="shared" si="358"/>
        <v>theater</v>
      </c>
      <c r="R3001" t="str">
        <f t="shared" si="359"/>
        <v>spaces</v>
      </c>
      <c r="S3001" s="9">
        <f t="shared" si="354"/>
        <v>42780.531944444439</v>
      </c>
      <c r="T3001" s="9">
        <f t="shared" si="355"/>
        <v>42794.874999999993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52"/>
        <v>1</v>
      </c>
      <c r="P3002">
        <f t="shared" si="353"/>
        <v>500</v>
      </c>
      <c r="Q3002" t="str">
        <f t="shared" si="358"/>
        <v>theater</v>
      </c>
      <c r="R3002" t="str">
        <f t="shared" si="359"/>
        <v>spaces</v>
      </c>
      <c r="S3002" s="9">
        <f t="shared" si="354"/>
        <v>42752.61886574074</v>
      </c>
      <c r="T3002" s="9">
        <f t="shared" si="355"/>
        <v>42766.541666666664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52"/>
        <v>3.1869988910451896</v>
      </c>
      <c r="P3003">
        <f t="shared" si="353"/>
        <v>15102.504999999999</v>
      </c>
      <c r="Q3003" t="str">
        <f t="shared" si="358"/>
        <v>theater</v>
      </c>
      <c r="R3003" t="str">
        <f t="shared" si="359"/>
        <v>spaces</v>
      </c>
      <c r="S3003" s="9">
        <f t="shared" si="354"/>
        <v>42534.687291666669</v>
      </c>
      <c r="T3003" s="9">
        <f t="shared" si="355"/>
        <v>42564.687291666669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52"/>
        <v>1.0850614285714286</v>
      </c>
      <c r="P3004">
        <f t="shared" si="353"/>
        <v>7297.7150000000001</v>
      </c>
      <c r="Q3004" t="str">
        <f t="shared" si="358"/>
        <v>theater</v>
      </c>
      <c r="R3004" t="str">
        <f t="shared" si="359"/>
        <v>spaces</v>
      </c>
      <c r="S3004" s="9">
        <f t="shared" si="354"/>
        <v>41239.627916666665</v>
      </c>
      <c r="T3004" s="9">
        <f t="shared" si="355"/>
        <v>41269.627916666665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52"/>
        <v>1.0116666666666667</v>
      </c>
      <c r="P3005">
        <f t="shared" si="353"/>
        <v>3017.5</v>
      </c>
      <c r="Q3005" t="str">
        <f t="shared" si="358"/>
        <v>theater</v>
      </c>
      <c r="R3005" t="str">
        <f t="shared" si="359"/>
        <v>spaces</v>
      </c>
      <c r="S3005" s="9">
        <f t="shared" si="354"/>
        <v>42398.640925925924</v>
      </c>
      <c r="T3005" s="9">
        <f t="shared" si="355"/>
        <v>42430.040972222218</v>
      </c>
    </row>
    <row r="3006" spans="1:20" ht="43.5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52"/>
        <v>1.12815</v>
      </c>
      <c r="P3006">
        <f t="shared" si="353"/>
        <v>42563</v>
      </c>
      <c r="Q3006" t="str">
        <f t="shared" si="358"/>
        <v>theater</v>
      </c>
      <c r="R3006" t="str">
        <f t="shared" si="359"/>
        <v>spaces</v>
      </c>
      <c r="S3006" s="9">
        <f t="shared" si="354"/>
        <v>41928.672731481478</v>
      </c>
      <c r="T3006" s="9">
        <f t="shared" si="355"/>
        <v>41958.714398148142</v>
      </c>
    </row>
    <row r="3007" spans="1:20" ht="43.5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52"/>
        <v>1.2049622641509434</v>
      </c>
      <c r="P3007">
        <f t="shared" si="353"/>
        <v>11686.3</v>
      </c>
      <c r="Q3007" t="str">
        <f t="shared" si="358"/>
        <v>theater</v>
      </c>
      <c r="R3007" t="str">
        <f t="shared" si="359"/>
        <v>spaces</v>
      </c>
      <c r="S3007" s="9">
        <f t="shared" si="354"/>
        <v>41888.466493055552</v>
      </c>
      <c r="T3007" s="9">
        <f t="shared" si="355"/>
        <v>41918.466493055552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52"/>
        <v>1.0774999999999999</v>
      </c>
      <c r="P3008">
        <f t="shared" si="353"/>
        <v>8310</v>
      </c>
      <c r="Q3008" t="str">
        <f t="shared" si="358"/>
        <v>theater</v>
      </c>
      <c r="R3008" t="str">
        <f t="shared" si="359"/>
        <v>spaces</v>
      </c>
      <c r="S3008" s="9">
        <f t="shared" si="354"/>
        <v>41957.54850694444</v>
      </c>
      <c r="T3008" s="9">
        <f t="shared" si="355"/>
        <v>41987.54850694444</v>
      </c>
    </row>
    <row r="3009" spans="1:20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52"/>
        <v>1.8</v>
      </c>
      <c r="P3009">
        <f t="shared" si="353"/>
        <v>840</v>
      </c>
      <c r="Q3009" t="str">
        <f t="shared" si="358"/>
        <v>theater</v>
      </c>
      <c r="R3009" t="str">
        <f t="shared" si="359"/>
        <v>spaces</v>
      </c>
      <c r="S3009" s="9">
        <f t="shared" si="354"/>
        <v>42098.007905092592</v>
      </c>
      <c r="T3009" s="9">
        <f t="shared" si="355"/>
        <v>42119.007905092592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52"/>
        <v>1.0116666666666667</v>
      </c>
      <c r="P3010">
        <f t="shared" si="353"/>
        <v>3017.5</v>
      </c>
      <c r="Q3010" t="str">
        <f t="shared" si="358"/>
        <v>theater</v>
      </c>
      <c r="R3010" t="str">
        <f t="shared" si="359"/>
        <v>spaces</v>
      </c>
      <c r="S3010" s="9">
        <f t="shared" si="354"/>
        <v>42360.003692129627</v>
      </c>
      <c r="T3010" s="9">
        <f t="shared" si="355"/>
        <v>42390.003692129627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360">E3011/D3011</f>
        <v>1.19756</v>
      </c>
      <c r="P3011">
        <f t="shared" ref="P3011:P3074" si="361">AVERAGE(D3011:E3011)</f>
        <v>27469.5</v>
      </c>
      <c r="Q3011" t="str">
        <f t="shared" si="358"/>
        <v>theater</v>
      </c>
      <c r="R3011" t="str">
        <f t="shared" si="359"/>
        <v>spaces</v>
      </c>
      <c r="S3011" s="9">
        <f t="shared" ref="S3011:S3074" si="362">J3011/86400+25569+(-5/24)</f>
        <v>41939.361574074072</v>
      </c>
      <c r="T3011" s="9">
        <f t="shared" si="355"/>
        <v>41969.403240740743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60"/>
        <v>1.58</v>
      </c>
      <c r="P3012">
        <f t="shared" si="361"/>
        <v>1935</v>
      </c>
      <c r="Q3012" t="str">
        <f t="shared" si="358"/>
        <v>theater</v>
      </c>
      <c r="R3012" t="str">
        <f t="shared" si="359"/>
        <v>spaces</v>
      </c>
      <c r="S3012" s="9">
        <f t="shared" si="362"/>
        <v>41996.624062499999</v>
      </c>
      <c r="T3012" s="9">
        <f t="shared" ref="T3012:T3075" si="363">I3012/86400+25569+(-5/24)</f>
        <v>42056.624062499999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60"/>
        <v>1.2366666666666666</v>
      </c>
      <c r="P3013">
        <f t="shared" si="361"/>
        <v>335.5</v>
      </c>
      <c r="Q3013" t="str">
        <f t="shared" si="358"/>
        <v>theater</v>
      </c>
      <c r="R3013" t="str">
        <f t="shared" si="359"/>
        <v>spaces</v>
      </c>
      <c r="S3013" s="9">
        <f t="shared" si="362"/>
        <v>42334.260601851849</v>
      </c>
      <c r="T3013" s="9">
        <f t="shared" si="363"/>
        <v>42361.749305555553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60"/>
        <v>1.1712499999999999</v>
      </c>
      <c r="P3014">
        <f t="shared" si="361"/>
        <v>4342.5</v>
      </c>
      <c r="Q3014" t="str">
        <f t="shared" si="358"/>
        <v>theater</v>
      </c>
      <c r="R3014" t="str">
        <f t="shared" si="359"/>
        <v>spaces</v>
      </c>
      <c r="S3014" s="9">
        <f t="shared" si="362"/>
        <v>42024.494560185187</v>
      </c>
      <c r="T3014" s="9">
        <f t="shared" si="363"/>
        <v>42045.494560185187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60"/>
        <v>1.5696000000000001</v>
      </c>
      <c r="P3015">
        <f t="shared" si="361"/>
        <v>12848</v>
      </c>
      <c r="Q3015" t="str">
        <f t="shared" si="358"/>
        <v>theater</v>
      </c>
      <c r="R3015" t="str">
        <f t="shared" si="359"/>
        <v>spaces</v>
      </c>
      <c r="S3015" s="9">
        <f t="shared" si="362"/>
        <v>42146.627881944441</v>
      </c>
      <c r="T3015" s="9">
        <f t="shared" si="363"/>
        <v>42176.627881944441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60"/>
        <v>1.13104</v>
      </c>
      <c r="P3016">
        <f t="shared" si="361"/>
        <v>26638</v>
      </c>
      <c r="Q3016" t="str">
        <f t="shared" si="358"/>
        <v>theater</v>
      </c>
      <c r="R3016" t="str">
        <f t="shared" si="359"/>
        <v>spaces</v>
      </c>
      <c r="S3016" s="9">
        <f t="shared" si="362"/>
        <v>41919.915277777771</v>
      </c>
      <c r="T3016" s="9">
        <f t="shared" si="363"/>
        <v>41948</v>
      </c>
    </row>
    <row r="3017" spans="1:20" ht="29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60"/>
        <v>1.0317647058823529</v>
      </c>
      <c r="P3017">
        <f t="shared" si="361"/>
        <v>3454</v>
      </c>
      <c r="Q3017" t="str">
        <f t="shared" si="358"/>
        <v>theater</v>
      </c>
      <c r="R3017" t="str">
        <f t="shared" si="359"/>
        <v>spaces</v>
      </c>
      <c r="S3017" s="9">
        <f t="shared" si="362"/>
        <v>41785.518958333334</v>
      </c>
      <c r="T3017" s="9">
        <f t="shared" si="363"/>
        <v>41800.958333333328</v>
      </c>
    </row>
    <row r="3018" spans="1:20" ht="43.5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60"/>
        <v>1.0261176470588236</v>
      </c>
      <c r="P3018">
        <f t="shared" si="361"/>
        <v>8611</v>
      </c>
      <c r="Q3018" t="str">
        <f t="shared" si="358"/>
        <v>theater</v>
      </c>
      <c r="R3018" t="str">
        <f t="shared" si="359"/>
        <v>spaces</v>
      </c>
      <c r="S3018" s="9">
        <f t="shared" si="362"/>
        <v>41778.339722222219</v>
      </c>
      <c r="T3018" s="9">
        <f t="shared" si="363"/>
        <v>41838.339722222219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60"/>
        <v>1.0584090909090909</v>
      </c>
      <c r="P3019">
        <f t="shared" si="361"/>
        <v>22642.5</v>
      </c>
      <c r="Q3019" t="str">
        <f t="shared" si="358"/>
        <v>theater</v>
      </c>
      <c r="R3019" t="str">
        <f t="shared" si="359"/>
        <v>spaces</v>
      </c>
      <c r="S3019" s="9">
        <f t="shared" si="362"/>
        <v>41841.641701388886</v>
      </c>
      <c r="T3019" s="9">
        <f t="shared" si="363"/>
        <v>41871.641701388886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60"/>
        <v>1.0071428571428571</v>
      </c>
      <c r="P3020">
        <f t="shared" si="361"/>
        <v>4215</v>
      </c>
      <c r="Q3020" t="str">
        <f t="shared" si="358"/>
        <v>theater</v>
      </c>
      <c r="R3020" t="str">
        <f t="shared" si="359"/>
        <v>spaces</v>
      </c>
      <c r="S3020" s="9">
        <f t="shared" si="362"/>
        <v>42163.09</v>
      </c>
      <c r="T3020" s="9">
        <f t="shared" si="363"/>
        <v>42205.708333333336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60"/>
        <v>1.2123333333333333</v>
      </c>
      <c r="P3021">
        <f t="shared" si="361"/>
        <v>16592.5</v>
      </c>
      <c r="Q3021" t="str">
        <f t="shared" si="358"/>
        <v>theater</v>
      </c>
      <c r="R3021" t="str">
        <f t="shared" si="359"/>
        <v>spaces</v>
      </c>
      <c r="S3021" s="9">
        <f t="shared" si="362"/>
        <v>41758.625231481477</v>
      </c>
      <c r="T3021" s="9">
        <f t="shared" si="363"/>
        <v>41785.916666666664</v>
      </c>
    </row>
    <row r="3022" spans="1:20" ht="43.5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60"/>
        <v>1.0057142857142858</v>
      </c>
      <c r="P3022">
        <f t="shared" si="361"/>
        <v>7020</v>
      </c>
      <c r="Q3022" t="str">
        <f t="shared" si="358"/>
        <v>theater</v>
      </c>
      <c r="R3022" t="str">
        <f t="shared" si="359"/>
        <v>spaces</v>
      </c>
      <c r="S3022" s="9">
        <f t="shared" si="362"/>
        <v>42170.638113425921</v>
      </c>
      <c r="T3022" s="9">
        <f t="shared" si="363"/>
        <v>42230.638113425921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60"/>
        <v>1.1602222222222223</v>
      </c>
      <c r="P3023">
        <f t="shared" si="361"/>
        <v>4860.5</v>
      </c>
      <c r="Q3023" t="str">
        <f t="shared" si="358"/>
        <v>theater</v>
      </c>
      <c r="R3023" t="str">
        <f t="shared" si="359"/>
        <v>spaces</v>
      </c>
      <c r="S3023" s="9">
        <f t="shared" si="362"/>
        <v>42660.410520833328</v>
      </c>
      <c r="T3023" s="9">
        <f t="shared" si="363"/>
        <v>42696.040972222218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60"/>
        <v>1.0087999999999999</v>
      </c>
      <c r="P3024">
        <f t="shared" si="361"/>
        <v>10044</v>
      </c>
      <c r="Q3024" t="str">
        <f t="shared" si="358"/>
        <v>theater</v>
      </c>
      <c r="R3024" t="str">
        <f t="shared" si="359"/>
        <v>spaces</v>
      </c>
      <c r="S3024" s="9">
        <f t="shared" si="362"/>
        <v>42564.745474537034</v>
      </c>
      <c r="T3024" s="9">
        <f t="shared" si="363"/>
        <v>42609.745474537034</v>
      </c>
    </row>
    <row r="3025" spans="1:20" ht="43.5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60"/>
        <v>1.03</v>
      </c>
      <c r="P3025">
        <f t="shared" si="361"/>
        <v>710.5</v>
      </c>
      <c r="Q3025" t="str">
        <f t="shared" si="358"/>
        <v>theater</v>
      </c>
      <c r="R3025" t="str">
        <f t="shared" si="359"/>
        <v>spaces</v>
      </c>
      <c r="S3025" s="9">
        <f t="shared" si="362"/>
        <v>42121.467430555553</v>
      </c>
      <c r="T3025" s="9">
        <f t="shared" si="363"/>
        <v>42166.467430555553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60"/>
        <v>2.4641999999999999</v>
      </c>
      <c r="P3026">
        <f t="shared" si="361"/>
        <v>8660.5</v>
      </c>
      <c r="Q3026" t="str">
        <f t="shared" si="358"/>
        <v>theater</v>
      </c>
      <c r="R3026" t="str">
        <f t="shared" si="359"/>
        <v>spaces</v>
      </c>
      <c r="S3026" s="9">
        <f t="shared" si="362"/>
        <v>41158.785590277774</v>
      </c>
      <c r="T3026" s="9">
        <f t="shared" si="363"/>
        <v>41188.785590277774</v>
      </c>
    </row>
    <row r="3027" spans="1:20" ht="29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60"/>
        <v>3.0219999999999998</v>
      </c>
      <c r="P3027">
        <f t="shared" si="361"/>
        <v>5027.5</v>
      </c>
      <c r="Q3027" t="str">
        <f t="shared" si="358"/>
        <v>theater</v>
      </c>
      <c r="R3027" t="str">
        <f t="shared" si="359"/>
        <v>spaces</v>
      </c>
      <c r="S3027" s="9">
        <f t="shared" si="362"/>
        <v>41761.301076388889</v>
      </c>
      <c r="T3027" s="9">
        <f t="shared" si="363"/>
        <v>41789.458333333328</v>
      </c>
    </row>
    <row r="3028" spans="1:20" ht="43.5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60"/>
        <v>1.4333333333333333</v>
      </c>
      <c r="P3028">
        <f t="shared" si="361"/>
        <v>1095</v>
      </c>
      <c r="Q3028" t="str">
        <f t="shared" si="358"/>
        <v>theater</v>
      </c>
      <c r="R3028" t="str">
        <f t="shared" si="359"/>
        <v>spaces</v>
      </c>
      <c r="S3028" s="9">
        <f t="shared" si="362"/>
        <v>42783.251064814809</v>
      </c>
      <c r="T3028" s="9">
        <f t="shared" si="363"/>
        <v>42797.251064814809</v>
      </c>
    </row>
    <row r="3029" spans="1:20" ht="29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60"/>
        <v>1.3144</v>
      </c>
      <c r="P3029">
        <f t="shared" si="361"/>
        <v>46288</v>
      </c>
      <c r="Q3029" t="str">
        <f t="shared" si="358"/>
        <v>theater</v>
      </c>
      <c r="R3029" t="str">
        <f t="shared" si="359"/>
        <v>spaces</v>
      </c>
      <c r="S3029" s="9">
        <f t="shared" si="362"/>
        <v>42053.49596064815</v>
      </c>
      <c r="T3029" s="9">
        <f t="shared" si="363"/>
        <v>42083.454293981478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60"/>
        <v>1.6801999999999999</v>
      </c>
      <c r="P3030">
        <f t="shared" si="361"/>
        <v>6700.5</v>
      </c>
      <c r="Q3030" t="str">
        <f t="shared" si="358"/>
        <v>theater</v>
      </c>
      <c r="R3030" t="str">
        <f t="shared" si="359"/>
        <v>spaces</v>
      </c>
      <c r="S3030" s="9">
        <f t="shared" si="362"/>
        <v>42567.055844907409</v>
      </c>
      <c r="T3030" s="9">
        <f t="shared" si="363"/>
        <v>42597.055844907409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60"/>
        <v>1.0967666666666667</v>
      </c>
      <c r="P3031">
        <f t="shared" si="361"/>
        <v>31451.5</v>
      </c>
      <c r="Q3031" t="str">
        <f t="shared" si="358"/>
        <v>theater</v>
      </c>
      <c r="R3031" t="str">
        <f t="shared" si="359"/>
        <v>spaces</v>
      </c>
      <c r="S3031" s="9">
        <f t="shared" si="362"/>
        <v>41932.500543981478</v>
      </c>
      <c r="T3031" s="9">
        <f t="shared" si="363"/>
        <v>41960.982638888883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60"/>
        <v>1.0668571428571429</v>
      </c>
      <c r="P3032">
        <f t="shared" si="361"/>
        <v>1808.5</v>
      </c>
      <c r="Q3032" t="str">
        <f t="shared" si="358"/>
        <v>theater</v>
      </c>
      <c r="R3032" t="str">
        <f t="shared" si="359"/>
        <v>spaces</v>
      </c>
      <c r="S3032" s="9">
        <f t="shared" si="362"/>
        <v>42233.5390162037</v>
      </c>
      <c r="T3032" s="9">
        <f t="shared" si="363"/>
        <v>42263.5390162037</v>
      </c>
    </row>
    <row r="3033" spans="1:20" ht="58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60"/>
        <v>1</v>
      </c>
      <c r="P3033">
        <f t="shared" si="361"/>
        <v>1500</v>
      </c>
      <c r="Q3033" t="str">
        <f t="shared" si="358"/>
        <v>theater</v>
      </c>
      <c r="R3033" t="str">
        <f t="shared" si="359"/>
        <v>spaces</v>
      </c>
      <c r="S3033" s="9">
        <f t="shared" si="362"/>
        <v>42597.674155092587</v>
      </c>
      <c r="T3033" s="9">
        <f t="shared" si="363"/>
        <v>42657.674155092587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60"/>
        <v>1.272</v>
      </c>
      <c r="P3034">
        <f t="shared" si="361"/>
        <v>1136</v>
      </c>
      <c r="Q3034" t="str">
        <f t="shared" si="358"/>
        <v>theater</v>
      </c>
      <c r="R3034" t="str">
        <f t="shared" si="359"/>
        <v>spaces</v>
      </c>
      <c r="S3034" s="9">
        <f t="shared" si="362"/>
        <v>42227.836331018516</v>
      </c>
      <c r="T3034" s="9">
        <f t="shared" si="363"/>
        <v>42257.836331018516</v>
      </c>
    </row>
    <row r="3035" spans="1:20" ht="29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60"/>
        <v>1.4653333333333334</v>
      </c>
      <c r="P3035">
        <f t="shared" si="361"/>
        <v>3698</v>
      </c>
      <c r="Q3035" t="str">
        <f t="shared" si="358"/>
        <v>theater</v>
      </c>
      <c r="R3035" t="str">
        <f t="shared" si="359"/>
        <v>spaces</v>
      </c>
      <c r="S3035" s="9">
        <f t="shared" si="362"/>
        <v>42569.901909722219</v>
      </c>
      <c r="T3035" s="9">
        <f t="shared" si="363"/>
        <v>42599.901909722219</v>
      </c>
    </row>
    <row r="3036" spans="1:20" ht="58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60"/>
        <v>1.1253599999999999</v>
      </c>
      <c r="P3036">
        <f t="shared" si="361"/>
        <v>106268</v>
      </c>
      <c r="Q3036" t="str">
        <f t="shared" si="358"/>
        <v>theater</v>
      </c>
      <c r="R3036" t="str">
        <f t="shared" si="359"/>
        <v>spaces</v>
      </c>
      <c r="S3036" s="9">
        <f t="shared" si="362"/>
        <v>42644.327025462961</v>
      </c>
      <c r="T3036" s="9">
        <f t="shared" si="363"/>
        <v>42674.957638888889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60"/>
        <v>1.0878684000000001</v>
      </c>
      <c r="P3037">
        <f t="shared" si="361"/>
        <v>26098.355</v>
      </c>
      <c r="Q3037" t="str">
        <f t="shared" si="358"/>
        <v>theater</v>
      </c>
      <c r="R3037" t="str">
        <f t="shared" si="359"/>
        <v>spaces</v>
      </c>
      <c r="S3037" s="9">
        <f t="shared" si="362"/>
        <v>41368.351956018516</v>
      </c>
      <c r="T3037" s="9">
        <f t="shared" si="363"/>
        <v>41398.351956018516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60"/>
        <v>1.26732</v>
      </c>
      <c r="P3038">
        <f t="shared" si="361"/>
        <v>28341.5</v>
      </c>
      <c r="Q3038" t="str">
        <f t="shared" si="358"/>
        <v>theater</v>
      </c>
      <c r="R3038" t="str">
        <f t="shared" si="359"/>
        <v>spaces</v>
      </c>
      <c r="S3038" s="9">
        <f t="shared" si="362"/>
        <v>41466.576898148145</v>
      </c>
      <c r="T3038" s="9">
        <f t="shared" si="363"/>
        <v>41502.290972222218</v>
      </c>
    </row>
    <row r="3039" spans="1:20" ht="43.5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60"/>
        <v>2.1320000000000001</v>
      </c>
      <c r="P3039">
        <f t="shared" si="361"/>
        <v>783</v>
      </c>
      <c r="Q3039" t="str">
        <f t="shared" si="358"/>
        <v>theater</v>
      </c>
      <c r="R3039" t="str">
        <f t="shared" si="359"/>
        <v>spaces</v>
      </c>
      <c r="S3039" s="9">
        <f t="shared" si="362"/>
        <v>40378.684872685182</v>
      </c>
      <c r="T3039" s="9">
        <f t="shared" si="363"/>
        <v>40452.999305555553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60"/>
        <v>1.0049999999999999</v>
      </c>
      <c r="P3040">
        <f t="shared" si="361"/>
        <v>1002.5</v>
      </c>
      <c r="Q3040" t="str">
        <f t="shared" si="358"/>
        <v>theater</v>
      </c>
      <c r="R3040" t="str">
        <f t="shared" si="359"/>
        <v>spaces</v>
      </c>
      <c r="S3040" s="9">
        <f t="shared" si="362"/>
        <v>42373.043946759259</v>
      </c>
      <c r="T3040" s="9">
        <f t="shared" si="363"/>
        <v>42433.043946759259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60"/>
        <v>1.0871389999999999</v>
      </c>
      <c r="P3041">
        <f t="shared" si="361"/>
        <v>20871.39</v>
      </c>
      <c r="Q3041" t="str">
        <f t="shared" si="358"/>
        <v>theater</v>
      </c>
      <c r="R3041" t="str">
        <f t="shared" si="359"/>
        <v>spaces</v>
      </c>
      <c r="S3041" s="9">
        <f t="shared" si="362"/>
        <v>41610.586087962962</v>
      </c>
      <c r="T3041" s="9">
        <f t="shared" si="363"/>
        <v>41637.124305555553</v>
      </c>
    </row>
    <row r="3042" spans="1:20" ht="29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60"/>
        <v>1.075</v>
      </c>
      <c r="P3042">
        <f t="shared" si="361"/>
        <v>3112.5</v>
      </c>
      <c r="Q3042" t="str">
        <f t="shared" si="358"/>
        <v>theater</v>
      </c>
      <c r="R3042" t="str">
        <f t="shared" si="359"/>
        <v>spaces</v>
      </c>
      <c r="S3042" s="9">
        <f t="shared" si="362"/>
        <v>42177.583576388883</v>
      </c>
      <c r="T3042" s="9">
        <f t="shared" si="363"/>
        <v>42181.749999999993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60"/>
        <v>1.1048192771084338</v>
      </c>
      <c r="P3043">
        <f t="shared" si="361"/>
        <v>8735</v>
      </c>
      <c r="Q3043" t="str">
        <f t="shared" si="358"/>
        <v>theater</v>
      </c>
      <c r="R3043" t="str">
        <f t="shared" si="359"/>
        <v>spaces</v>
      </c>
      <c r="S3043" s="9">
        <f t="shared" si="362"/>
        <v>42359.660277777781</v>
      </c>
      <c r="T3043" s="9">
        <f t="shared" si="363"/>
        <v>42389.660277777781</v>
      </c>
    </row>
    <row r="3044" spans="1:20" ht="43.5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60"/>
        <v>1.28</v>
      </c>
      <c r="P3044">
        <f t="shared" si="361"/>
        <v>1710</v>
      </c>
      <c r="Q3044" t="str">
        <f t="shared" si="358"/>
        <v>theater</v>
      </c>
      <c r="R3044" t="str">
        <f t="shared" si="359"/>
        <v>spaces</v>
      </c>
      <c r="S3044" s="9">
        <f t="shared" si="362"/>
        <v>42253.479710648149</v>
      </c>
      <c r="T3044" s="9">
        <f t="shared" si="363"/>
        <v>42283.479710648149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60"/>
        <v>1.1000666666666667</v>
      </c>
      <c r="P3045">
        <f t="shared" si="361"/>
        <v>15750.5</v>
      </c>
      <c r="Q3045" t="str">
        <f t="shared" si="358"/>
        <v>theater</v>
      </c>
      <c r="R3045" t="str">
        <f t="shared" si="359"/>
        <v>spaces</v>
      </c>
      <c r="S3045" s="9">
        <f t="shared" si="362"/>
        <v>42082.862256944441</v>
      </c>
      <c r="T3045" s="9">
        <f t="shared" si="363"/>
        <v>42109.909722222219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60"/>
        <v>1.0934166666666667</v>
      </c>
      <c r="P3046">
        <f t="shared" si="361"/>
        <v>12560.5</v>
      </c>
      <c r="Q3046" t="str">
        <f t="shared" si="358"/>
        <v>theater</v>
      </c>
      <c r="R3046" t="str">
        <f t="shared" si="359"/>
        <v>spaces</v>
      </c>
      <c r="S3046" s="9">
        <f t="shared" si="362"/>
        <v>42387.518495370365</v>
      </c>
      <c r="T3046" s="9">
        <f t="shared" si="363"/>
        <v>42402.518495370365</v>
      </c>
    </row>
    <row r="3047" spans="1:20" ht="43.5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60"/>
        <v>1.3270650000000002</v>
      </c>
      <c r="P3047">
        <f t="shared" si="361"/>
        <v>4654.13</v>
      </c>
      <c r="Q3047" t="str">
        <f t="shared" si="358"/>
        <v>theater</v>
      </c>
      <c r="R3047" t="str">
        <f t="shared" si="359"/>
        <v>spaces</v>
      </c>
      <c r="S3047" s="9">
        <f t="shared" si="362"/>
        <v>41842.947395833333</v>
      </c>
      <c r="T3047" s="9">
        <f t="shared" si="363"/>
        <v>41872.947395833333</v>
      </c>
    </row>
    <row r="3048" spans="1:20" ht="43.5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60"/>
        <v>1.9084810126582279</v>
      </c>
      <c r="P3048">
        <f t="shared" si="361"/>
        <v>11488.5</v>
      </c>
      <c r="Q3048" t="str">
        <f t="shared" ref="Q3048:Q3111" si="364">IF(N3048="theater/spaces","theater")</f>
        <v>theater</v>
      </c>
      <c r="R3048" t="str">
        <f t="shared" ref="R3048:R3111" si="365">IF(N3048="theater/spaces","spaces")</f>
        <v>spaces</v>
      </c>
      <c r="S3048" s="9">
        <f t="shared" si="362"/>
        <v>41862.59474537037</v>
      </c>
      <c r="T3048" s="9">
        <f t="shared" si="363"/>
        <v>41891.994444444441</v>
      </c>
    </row>
    <row r="3049" spans="1:20" ht="29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60"/>
        <v>1.49</v>
      </c>
      <c r="P3049">
        <f t="shared" si="361"/>
        <v>622.5</v>
      </c>
      <c r="Q3049" t="str">
        <f t="shared" si="364"/>
        <v>theater</v>
      </c>
      <c r="R3049" t="str">
        <f t="shared" si="365"/>
        <v>spaces</v>
      </c>
      <c r="S3049" s="9">
        <f t="shared" si="362"/>
        <v>42443.780717592592</v>
      </c>
      <c r="T3049" s="9">
        <f t="shared" si="363"/>
        <v>42487.344444444439</v>
      </c>
    </row>
    <row r="3050" spans="1:20" ht="43.5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60"/>
        <v>1.6639999999999999</v>
      </c>
      <c r="P3050">
        <f t="shared" si="361"/>
        <v>6660</v>
      </c>
      <c r="Q3050" t="str">
        <f t="shared" si="364"/>
        <v>theater</v>
      </c>
      <c r="R3050" t="str">
        <f t="shared" si="365"/>
        <v>spaces</v>
      </c>
      <c r="S3050" s="9">
        <f t="shared" si="362"/>
        <v>41975.692847222221</v>
      </c>
      <c r="T3050" s="9">
        <f t="shared" si="363"/>
        <v>42004.681944444441</v>
      </c>
    </row>
    <row r="3051" spans="1:20" ht="43.5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60"/>
        <v>1.0666666666666667</v>
      </c>
      <c r="P3051">
        <f t="shared" si="361"/>
        <v>3875</v>
      </c>
      <c r="Q3051" t="str">
        <f t="shared" si="364"/>
        <v>theater</v>
      </c>
      <c r="R3051" t="str">
        <f t="shared" si="365"/>
        <v>spaces</v>
      </c>
      <c r="S3051" s="9">
        <f t="shared" si="362"/>
        <v>42138.806192129625</v>
      </c>
      <c r="T3051" s="9">
        <f t="shared" si="363"/>
        <v>42168.806192129625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60"/>
        <v>1.06</v>
      </c>
      <c r="P3052">
        <f t="shared" si="361"/>
        <v>618</v>
      </c>
      <c r="Q3052" t="str">
        <f t="shared" si="364"/>
        <v>theater</v>
      </c>
      <c r="R3052" t="str">
        <f t="shared" si="365"/>
        <v>spaces</v>
      </c>
      <c r="S3052" s="9">
        <f t="shared" si="362"/>
        <v>42464.960185185184</v>
      </c>
      <c r="T3052" s="9">
        <f t="shared" si="363"/>
        <v>42494.960185185184</v>
      </c>
    </row>
    <row r="3053" spans="1:20" ht="43.5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60"/>
        <v>0.23628571428571429</v>
      </c>
      <c r="P3053">
        <f t="shared" si="361"/>
        <v>2163.5</v>
      </c>
      <c r="Q3053" t="str">
        <f t="shared" si="364"/>
        <v>theater</v>
      </c>
      <c r="R3053" t="str">
        <f t="shared" si="365"/>
        <v>spaces</v>
      </c>
      <c r="S3053" s="9">
        <f t="shared" si="362"/>
        <v>42744.207696759258</v>
      </c>
      <c r="T3053" s="9">
        <f t="shared" si="363"/>
        <v>42774.207696759258</v>
      </c>
    </row>
    <row r="3054" spans="1:20" ht="29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60"/>
        <v>1.5E-3</v>
      </c>
      <c r="P3054">
        <f t="shared" si="361"/>
        <v>25037.5</v>
      </c>
      <c r="Q3054" t="str">
        <f t="shared" si="364"/>
        <v>theater</v>
      </c>
      <c r="R3054" t="str">
        <f t="shared" si="365"/>
        <v>spaces</v>
      </c>
      <c r="S3054" s="9">
        <f t="shared" si="362"/>
        <v>42122.461736111109</v>
      </c>
      <c r="T3054" s="9">
        <f t="shared" si="363"/>
        <v>42152.457638888889</v>
      </c>
    </row>
    <row r="3055" spans="1:20" ht="43.5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60"/>
        <v>4.0000000000000001E-3</v>
      </c>
      <c r="P3055">
        <f t="shared" si="361"/>
        <v>5020</v>
      </c>
      <c r="Q3055" t="str">
        <f t="shared" si="364"/>
        <v>theater</v>
      </c>
      <c r="R3055" t="str">
        <f t="shared" si="365"/>
        <v>spaces</v>
      </c>
      <c r="S3055" s="9">
        <f t="shared" si="362"/>
        <v>41862.553391203699</v>
      </c>
      <c r="T3055" s="9">
        <f t="shared" si="363"/>
        <v>41913.957638888889</v>
      </c>
    </row>
    <row r="3056" spans="1:20" ht="43.5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60"/>
        <v>0</v>
      </c>
      <c r="P3056">
        <f t="shared" si="361"/>
        <v>150</v>
      </c>
      <c r="Q3056" t="str">
        <f t="shared" si="364"/>
        <v>theater</v>
      </c>
      <c r="R3056" t="str">
        <f t="shared" si="365"/>
        <v>spaces</v>
      </c>
      <c r="S3056" s="9">
        <f t="shared" si="362"/>
        <v>42027.624467592592</v>
      </c>
      <c r="T3056" s="9">
        <f t="shared" si="363"/>
        <v>42064.836111111108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60"/>
        <v>5.0000000000000002E-5</v>
      </c>
      <c r="P3057">
        <f t="shared" si="361"/>
        <v>10000.5</v>
      </c>
      <c r="Q3057" t="str">
        <f t="shared" si="364"/>
        <v>theater</v>
      </c>
      <c r="R3057" t="str">
        <f t="shared" si="365"/>
        <v>spaces</v>
      </c>
      <c r="S3057" s="9">
        <f t="shared" si="362"/>
        <v>41953.749884259254</v>
      </c>
      <c r="T3057" s="9">
        <f t="shared" si="363"/>
        <v>42013.749884259254</v>
      </c>
    </row>
    <row r="3058" spans="1:20" ht="43.5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60"/>
        <v>0</v>
      </c>
      <c r="P3058">
        <f t="shared" si="361"/>
        <v>12500</v>
      </c>
      <c r="Q3058" t="str">
        <f t="shared" si="364"/>
        <v>theater</v>
      </c>
      <c r="R3058" t="str">
        <f t="shared" si="365"/>
        <v>spaces</v>
      </c>
      <c r="S3058" s="9">
        <f t="shared" si="362"/>
        <v>41851.428055555552</v>
      </c>
      <c r="T3058" s="9">
        <f t="shared" si="363"/>
        <v>41911.428055555552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60"/>
        <v>0</v>
      </c>
      <c r="P3059">
        <f t="shared" si="361"/>
        <v>25000</v>
      </c>
      <c r="Q3059" t="str">
        <f t="shared" si="364"/>
        <v>theater</v>
      </c>
      <c r="R3059" t="str">
        <f t="shared" si="365"/>
        <v>spaces</v>
      </c>
      <c r="S3059" s="9">
        <f t="shared" si="362"/>
        <v>42433.442256944443</v>
      </c>
      <c r="T3059" s="9">
        <f t="shared" si="363"/>
        <v>42463.400590277779</v>
      </c>
    </row>
    <row r="3060" spans="1:20" ht="43.5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60"/>
        <v>1.6666666666666666E-4</v>
      </c>
      <c r="P3060">
        <f t="shared" si="361"/>
        <v>9001.5</v>
      </c>
      <c r="Q3060" t="str">
        <f t="shared" si="364"/>
        <v>theater</v>
      </c>
      <c r="R3060" t="str">
        <f t="shared" si="365"/>
        <v>spaces</v>
      </c>
      <c r="S3060" s="9">
        <f t="shared" si="362"/>
        <v>42460.165972222218</v>
      </c>
      <c r="T3060" s="9">
        <f t="shared" si="363"/>
        <v>42510.165972222218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60"/>
        <v>3.0066666666666665E-2</v>
      </c>
      <c r="P3061">
        <f t="shared" si="361"/>
        <v>7725.5</v>
      </c>
      <c r="Q3061" t="str">
        <f t="shared" si="364"/>
        <v>theater</v>
      </c>
      <c r="R3061" t="str">
        <f t="shared" si="365"/>
        <v>spaces</v>
      </c>
      <c r="S3061" s="9">
        <f t="shared" si="362"/>
        <v>41829.727384259255</v>
      </c>
      <c r="T3061" s="9">
        <f t="shared" si="363"/>
        <v>41859.727384259255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60"/>
        <v>1.5227272727272728E-3</v>
      </c>
      <c r="P3062">
        <f t="shared" si="361"/>
        <v>110167.5</v>
      </c>
      <c r="Q3062" t="str">
        <f t="shared" si="364"/>
        <v>theater</v>
      </c>
      <c r="R3062" t="str">
        <f t="shared" si="365"/>
        <v>spaces</v>
      </c>
      <c r="S3062" s="9">
        <f t="shared" si="362"/>
        <v>42245.066365740735</v>
      </c>
      <c r="T3062" s="9">
        <f t="shared" si="363"/>
        <v>42275.066365740735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60"/>
        <v>0</v>
      </c>
      <c r="P3063">
        <f t="shared" si="361"/>
        <v>500000</v>
      </c>
      <c r="Q3063" t="str">
        <f t="shared" si="364"/>
        <v>theater</v>
      </c>
      <c r="R3063" t="str">
        <f t="shared" si="365"/>
        <v>spaces</v>
      </c>
      <c r="S3063" s="9">
        <f t="shared" si="362"/>
        <v>41834.575787037036</v>
      </c>
      <c r="T3063" s="9">
        <f t="shared" si="363"/>
        <v>41864.575787037036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60"/>
        <v>0.66839999999999999</v>
      </c>
      <c r="P3064">
        <f t="shared" si="361"/>
        <v>8342</v>
      </c>
      <c r="Q3064" t="str">
        <f t="shared" si="364"/>
        <v>theater</v>
      </c>
      <c r="R3064" t="str">
        <f t="shared" si="365"/>
        <v>spaces</v>
      </c>
      <c r="S3064" s="9">
        <f t="shared" si="362"/>
        <v>42248.3274537037</v>
      </c>
      <c r="T3064" s="9">
        <f t="shared" si="363"/>
        <v>42277.541666666664</v>
      </c>
    </row>
    <row r="3065" spans="1:20" ht="29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60"/>
        <v>0.19566666666666666</v>
      </c>
      <c r="P3065">
        <f t="shared" si="361"/>
        <v>1793.5</v>
      </c>
      <c r="Q3065" t="str">
        <f t="shared" si="364"/>
        <v>theater</v>
      </c>
      <c r="R3065" t="str">
        <f t="shared" si="365"/>
        <v>spaces</v>
      </c>
      <c r="S3065" s="9">
        <f t="shared" si="362"/>
        <v>42630.714560185188</v>
      </c>
      <c r="T3065" s="9">
        <f t="shared" si="363"/>
        <v>42665.714560185188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60"/>
        <v>0.11294666666666667</v>
      </c>
      <c r="P3066">
        <f t="shared" si="361"/>
        <v>41735.5</v>
      </c>
      <c r="Q3066" t="str">
        <f t="shared" si="364"/>
        <v>theater</v>
      </c>
      <c r="R3066" t="str">
        <f t="shared" si="365"/>
        <v>spaces</v>
      </c>
      <c r="S3066" s="9">
        <f t="shared" si="362"/>
        <v>42298.9218287037</v>
      </c>
      <c r="T3066" s="9">
        <f t="shared" si="363"/>
        <v>42330.082638888889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60"/>
        <v>4.0000000000000002E-4</v>
      </c>
      <c r="P3067">
        <f t="shared" si="361"/>
        <v>12505</v>
      </c>
      <c r="Q3067" t="str">
        <f t="shared" si="364"/>
        <v>theater</v>
      </c>
      <c r="R3067" t="str">
        <f t="shared" si="365"/>
        <v>spaces</v>
      </c>
      <c r="S3067" s="9">
        <f t="shared" si="362"/>
        <v>41824.846898148149</v>
      </c>
      <c r="T3067" s="9">
        <f t="shared" si="363"/>
        <v>41849.846898148149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60"/>
        <v>0.11985714285714286</v>
      </c>
      <c r="P3068">
        <f t="shared" si="361"/>
        <v>195975</v>
      </c>
      <c r="Q3068" t="str">
        <f t="shared" si="364"/>
        <v>theater</v>
      </c>
      <c r="R3068" t="str">
        <f t="shared" si="365"/>
        <v>spaces</v>
      </c>
      <c r="S3068" s="9">
        <f t="shared" si="362"/>
        <v>42531.020104166666</v>
      </c>
      <c r="T3068" s="9">
        <f t="shared" si="363"/>
        <v>42561.020104166666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60"/>
        <v>2.5000000000000001E-2</v>
      </c>
      <c r="P3069">
        <f t="shared" si="361"/>
        <v>4100</v>
      </c>
      <c r="Q3069" t="str">
        <f t="shared" si="364"/>
        <v>theater</v>
      </c>
      <c r="R3069" t="str">
        <f t="shared" si="365"/>
        <v>spaces</v>
      </c>
      <c r="S3069" s="9">
        <f t="shared" si="362"/>
        <v>42226.730081018519</v>
      </c>
      <c r="T3069" s="9">
        <f t="shared" si="363"/>
        <v>42256.730081018519</v>
      </c>
    </row>
    <row r="3070" spans="1:20" ht="43.5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60"/>
        <v>6.9999999999999999E-4</v>
      </c>
      <c r="P3070">
        <f t="shared" si="361"/>
        <v>125087.5</v>
      </c>
      <c r="Q3070" t="str">
        <f t="shared" si="364"/>
        <v>theater</v>
      </c>
      <c r="R3070" t="str">
        <f t="shared" si="365"/>
        <v>spaces</v>
      </c>
      <c r="S3070" s="9">
        <f t="shared" si="362"/>
        <v>42263.483240740738</v>
      </c>
      <c r="T3070" s="9">
        <f t="shared" si="363"/>
        <v>42293.483240740738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60"/>
        <v>0.14099999999999999</v>
      </c>
      <c r="P3071">
        <f t="shared" si="361"/>
        <v>570.5</v>
      </c>
      <c r="Q3071" t="str">
        <f t="shared" si="364"/>
        <v>theater</v>
      </c>
      <c r="R3071" t="str">
        <f t="shared" si="365"/>
        <v>spaces</v>
      </c>
      <c r="S3071" s="9">
        <f t="shared" si="362"/>
        <v>41957.625393518516</v>
      </c>
      <c r="T3071" s="9">
        <f t="shared" si="363"/>
        <v>41987.625393518516</v>
      </c>
    </row>
    <row r="3072" spans="1:20" ht="29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60"/>
        <v>3.3399999999999999E-2</v>
      </c>
      <c r="P3072">
        <f t="shared" si="361"/>
        <v>5167</v>
      </c>
      <c r="Q3072" t="str">
        <f t="shared" si="364"/>
        <v>theater</v>
      </c>
      <c r="R3072" t="str">
        <f t="shared" si="365"/>
        <v>spaces</v>
      </c>
      <c r="S3072" s="9">
        <f t="shared" si="362"/>
        <v>42690.525104166663</v>
      </c>
      <c r="T3072" s="9">
        <f t="shared" si="363"/>
        <v>42711.525104166663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60"/>
        <v>0.59775</v>
      </c>
      <c r="P3073">
        <f t="shared" si="361"/>
        <v>9586.5</v>
      </c>
      <c r="Q3073" t="str">
        <f t="shared" si="364"/>
        <v>theater</v>
      </c>
      <c r="R3073" t="str">
        <f t="shared" si="365"/>
        <v>spaces</v>
      </c>
      <c r="S3073" s="9">
        <f t="shared" si="362"/>
        <v>42097.524085648147</v>
      </c>
      <c r="T3073" s="9">
        <f t="shared" si="363"/>
        <v>42115.040972222218</v>
      </c>
    </row>
    <row r="3074" spans="1:20" ht="43.5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60"/>
        <v>1.6666666666666666E-4</v>
      </c>
      <c r="P3074">
        <f t="shared" si="361"/>
        <v>6001</v>
      </c>
      <c r="Q3074" t="str">
        <f t="shared" si="364"/>
        <v>theater</v>
      </c>
      <c r="R3074" t="str">
        <f t="shared" si="365"/>
        <v>spaces</v>
      </c>
      <c r="S3074" s="9">
        <f t="shared" si="362"/>
        <v>42658.482199074067</v>
      </c>
      <c r="T3074" s="9">
        <f t="shared" si="363"/>
        <v>42672.865277777775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366">E3075/D3075</f>
        <v>2.3035714285714285E-4</v>
      </c>
      <c r="P3075">
        <f t="shared" ref="P3075:P3138" si="367">AVERAGE(D3075:E3075)</f>
        <v>1400322.5</v>
      </c>
      <c r="Q3075" t="str">
        <f t="shared" si="364"/>
        <v>theater</v>
      </c>
      <c r="R3075" t="str">
        <f t="shared" si="365"/>
        <v>spaces</v>
      </c>
      <c r="S3075" s="9">
        <f t="shared" ref="S3075:S3138" si="368">J3075/86400+25569+(-5/24)</f>
        <v>42111.475694444445</v>
      </c>
      <c r="T3075" s="9">
        <f t="shared" si="363"/>
        <v>42169.59652777778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66"/>
        <v>8.8000000000000003E-4</v>
      </c>
      <c r="P3076">
        <f t="shared" si="367"/>
        <v>12511</v>
      </c>
      <c r="Q3076" t="str">
        <f t="shared" si="364"/>
        <v>theater</v>
      </c>
      <c r="R3076" t="str">
        <f t="shared" si="365"/>
        <v>spaces</v>
      </c>
      <c r="S3076" s="9">
        <f t="shared" si="368"/>
        <v>42409.362951388888</v>
      </c>
      <c r="T3076" s="9">
        <f t="shared" ref="T3076:T3139" si="369">I3076/86400+25569+(-5/24)</f>
        <v>42439.362951388888</v>
      </c>
    </row>
    <row r="3077" spans="1:20" ht="29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66"/>
        <v>8.6400000000000005E-2</v>
      </c>
      <c r="P3077">
        <f t="shared" si="367"/>
        <v>8148</v>
      </c>
      <c r="Q3077" t="str">
        <f t="shared" si="364"/>
        <v>theater</v>
      </c>
      <c r="R3077" t="str">
        <f t="shared" si="365"/>
        <v>spaces</v>
      </c>
      <c r="S3077" s="9">
        <f t="shared" si="368"/>
        <v>42550.89398148148</v>
      </c>
      <c r="T3077" s="9">
        <f t="shared" si="369"/>
        <v>42600.89398148148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66"/>
        <v>0.15060000000000001</v>
      </c>
      <c r="P3078">
        <f t="shared" si="367"/>
        <v>5753</v>
      </c>
      <c r="Q3078" t="str">
        <f t="shared" si="364"/>
        <v>theater</v>
      </c>
      <c r="R3078" t="str">
        <f t="shared" si="365"/>
        <v>spaces</v>
      </c>
      <c r="S3078" s="9">
        <f t="shared" si="368"/>
        <v>42226.443553240737</v>
      </c>
      <c r="T3078" s="9">
        <f t="shared" si="369"/>
        <v>42286.443553240737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66"/>
        <v>4.7727272727272731E-3</v>
      </c>
      <c r="P3079">
        <f t="shared" si="367"/>
        <v>11052.5</v>
      </c>
      <c r="Q3079" t="str">
        <f t="shared" si="364"/>
        <v>theater</v>
      </c>
      <c r="R3079" t="str">
        <f t="shared" si="365"/>
        <v>spaces</v>
      </c>
      <c r="S3079" s="9">
        <f t="shared" si="368"/>
        <v>42766.74858796296</v>
      </c>
      <c r="T3079" s="9">
        <f t="shared" si="369"/>
        <v>42796.74858796296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66"/>
        <v>1.1833333333333333E-3</v>
      </c>
      <c r="P3080">
        <f t="shared" si="367"/>
        <v>30035.5</v>
      </c>
      <c r="Q3080" t="str">
        <f t="shared" si="364"/>
        <v>theater</v>
      </c>
      <c r="R3080" t="str">
        <f t="shared" si="365"/>
        <v>spaces</v>
      </c>
      <c r="S3080" s="9">
        <f t="shared" si="368"/>
        <v>42030.930497685178</v>
      </c>
      <c r="T3080" s="9">
        <f t="shared" si="369"/>
        <v>42060.930497685178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66"/>
        <v>8.4173998587352451E-3</v>
      </c>
      <c r="P3081">
        <f t="shared" si="367"/>
        <v>672446</v>
      </c>
      <c r="Q3081" t="str">
        <f t="shared" si="364"/>
        <v>theater</v>
      </c>
      <c r="R3081" t="str">
        <f t="shared" si="365"/>
        <v>spaces</v>
      </c>
      <c r="S3081" s="9">
        <f t="shared" si="368"/>
        <v>42055.50503472222</v>
      </c>
      <c r="T3081" s="9">
        <f t="shared" si="369"/>
        <v>42085.463368055549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66"/>
        <v>1.8799999999999999E-4</v>
      </c>
      <c r="P3082">
        <f t="shared" si="367"/>
        <v>1000188</v>
      </c>
      <c r="Q3082" t="str">
        <f t="shared" si="364"/>
        <v>theater</v>
      </c>
      <c r="R3082" t="str">
        <f t="shared" si="365"/>
        <v>spaces</v>
      </c>
      <c r="S3082" s="9">
        <f t="shared" si="368"/>
        <v>41939.8199537037</v>
      </c>
      <c r="T3082" s="9">
        <f t="shared" si="369"/>
        <v>41999.861620370364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66"/>
        <v>2.1029999999999998E-3</v>
      </c>
      <c r="P3083">
        <f t="shared" si="367"/>
        <v>501051.5</v>
      </c>
      <c r="Q3083" t="str">
        <f t="shared" si="364"/>
        <v>theater</v>
      </c>
      <c r="R3083" t="str">
        <f t="shared" si="365"/>
        <v>spaces</v>
      </c>
      <c r="S3083" s="9">
        <f t="shared" si="368"/>
        <v>42236.973275462959</v>
      </c>
      <c r="T3083" s="9">
        <f t="shared" si="369"/>
        <v>42266.973275462959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66"/>
        <v>0</v>
      </c>
      <c r="P3084">
        <f t="shared" si="367"/>
        <v>4500</v>
      </c>
      <c r="Q3084" t="str">
        <f t="shared" si="364"/>
        <v>theater</v>
      </c>
      <c r="R3084" t="str">
        <f t="shared" si="365"/>
        <v>spaces</v>
      </c>
      <c r="S3084" s="9">
        <f t="shared" si="368"/>
        <v>42293.714652777773</v>
      </c>
      <c r="T3084" s="9">
        <f t="shared" si="369"/>
        <v>42323.756319444445</v>
      </c>
    </row>
    <row r="3085" spans="1:20" ht="43.5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66"/>
        <v>2.8E-3</v>
      </c>
      <c r="P3085">
        <f t="shared" si="367"/>
        <v>10028</v>
      </c>
      <c r="Q3085" t="str">
        <f t="shared" si="364"/>
        <v>theater</v>
      </c>
      <c r="R3085" t="str">
        <f t="shared" si="365"/>
        <v>spaces</v>
      </c>
      <c r="S3085" s="9">
        <f t="shared" si="368"/>
        <v>41853.355069444442</v>
      </c>
      <c r="T3085" s="9">
        <f t="shared" si="369"/>
        <v>41883</v>
      </c>
    </row>
    <row r="3086" spans="1:20" ht="43.5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66"/>
        <v>0.11579206701157921</v>
      </c>
      <c r="P3086">
        <f t="shared" si="367"/>
        <v>2264.5</v>
      </c>
      <c r="Q3086" t="str">
        <f t="shared" si="364"/>
        <v>theater</v>
      </c>
      <c r="R3086" t="str">
        <f t="shared" si="365"/>
        <v>spaces</v>
      </c>
      <c r="S3086" s="9">
        <f t="shared" si="368"/>
        <v>42100.515405092585</v>
      </c>
      <c r="T3086" s="9">
        <f t="shared" si="369"/>
        <v>42129.574999999997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66"/>
        <v>2.4400000000000002E-2</v>
      </c>
      <c r="P3087">
        <f t="shared" si="367"/>
        <v>12805</v>
      </c>
      <c r="Q3087" t="str">
        <f t="shared" si="364"/>
        <v>theater</v>
      </c>
      <c r="R3087" t="str">
        <f t="shared" si="365"/>
        <v>spaces</v>
      </c>
      <c r="S3087" s="9">
        <f t="shared" si="368"/>
        <v>42246.675451388888</v>
      </c>
      <c r="T3087" s="9">
        <f t="shared" si="369"/>
        <v>42276.675451388888</v>
      </c>
    </row>
    <row r="3088" spans="1:20" ht="43.5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66"/>
        <v>2.5000000000000001E-3</v>
      </c>
      <c r="P3088">
        <f t="shared" si="367"/>
        <v>10025</v>
      </c>
      <c r="Q3088" t="str">
        <f t="shared" si="364"/>
        <v>theater</v>
      </c>
      <c r="R3088" t="str">
        <f t="shared" si="365"/>
        <v>spaces</v>
      </c>
      <c r="S3088" s="9">
        <f t="shared" si="368"/>
        <v>42173.462488425925</v>
      </c>
      <c r="T3088" s="9">
        <f t="shared" si="369"/>
        <v>42233.462488425925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66"/>
        <v>6.2500000000000003E-3</v>
      </c>
      <c r="P3089">
        <f t="shared" si="367"/>
        <v>10062.5</v>
      </c>
      <c r="Q3089" t="str">
        <f t="shared" si="364"/>
        <v>theater</v>
      </c>
      <c r="R3089" t="str">
        <f t="shared" si="365"/>
        <v>spaces</v>
      </c>
      <c r="S3089" s="9">
        <f t="shared" si="368"/>
        <v>42664.942013888889</v>
      </c>
      <c r="T3089" s="9">
        <f t="shared" si="369"/>
        <v>42724.983680555553</v>
      </c>
    </row>
    <row r="3090" spans="1:20" ht="29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66"/>
        <v>1.9384615384615384E-3</v>
      </c>
      <c r="P3090">
        <f t="shared" si="367"/>
        <v>32563</v>
      </c>
      <c r="Q3090" t="str">
        <f t="shared" si="364"/>
        <v>theater</v>
      </c>
      <c r="R3090" t="str">
        <f t="shared" si="365"/>
        <v>spaces</v>
      </c>
      <c r="S3090" s="9">
        <f t="shared" si="368"/>
        <v>41981.363969907405</v>
      </c>
      <c r="T3090" s="9">
        <f t="shared" si="369"/>
        <v>42012.361805555549</v>
      </c>
    </row>
    <row r="3091" spans="1:20" ht="29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66"/>
        <v>0.23416000000000001</v>
      </c>
      <c r="P3091">
        <f t="shared" si="367"/>
        <v>15427</v>
      </c>
      <c r="Q3091" t="str">
        <f t="shared" si="364"/>
        <v>theater</v>
      </c>
      <c r="R3091" t="str">
        <f t="shared" si="365"/>
        <v>spaces</v>
      </c>
      <c r="S3091" s="9">
        <f t="shared" si="368"/>
        <v>42528.334293981483</v>
      </c>
      <c r="T3091" s="9">
        <f t="shared" si="369"/>
        <v>42559.874305555553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66"/>
        <v>5.080888888888889E-2</v>
      </c>
      <c r="P3092">
        <f t="shared" si="367"/>
        <v>118216</v>
      </c>
      <c r="Q3092" t="str">
        <f t="shared" si="364"/>
        <v>theater</v>
      </c>
      <c r="R3092" t="str">
        <f t="shared" si="365"/>
        <v>spaces</v>
      </c>
      <c r="S3092" s="9">
        <f t="shared" si="368"/>
        <v>42065.610474537032</v>
      </c>
      <c r="T3092" s="9">
        <f t="shared" si="369"/>
        <v>42125.568807870368</v>
      </c>
    </row>
    <row r="3093" spans="1:20" ht="43.5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66"/>
        <v>0.15920000000000001</v>
      </c>
      <c r="P3093">
        <f t="shared" si="367"/>
        <v>2898</v>
      </c>
      <c r="Q3093" t="str">
        <f t="shared" si="364"/>
        <v>theater</v>
      </c>
      <c r="R3093" t="str">
        <f t="shared" si="365"/>
        <v>spaces</v>
      </c>
      <c r="S3093" s="9">
        <f t="shared" si="368"/>
        <v>42566.740081018514</v>
      </c>
      <c r="T3093" s="9">
        <f t="shared" si="369"/>
        <v>42596.740081018514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66"/>
        <v>1.1831900000000001E-2</v>
      </c>
      <c r="P3094">
        <f t="shared" si="367"/>
        <v>50591.595000000001</v>
      </c>
      <c r="Q3094" t="str">
        <f t="shared" si="364"/>
        <v>theater</v>
      </c>
      <c r="R3094" t="str">
        <f t="shared" si="365"/>
        <v>spaces</v>
      </c>
      <c r="S3094" s="9">
        <f t="shared" si="368"/>
        <v>42255.41101851852</v>
      </c>
      <c r="T3094" s="9">
        <f t="shared" si="369"/>
        <v>42292.708333333336</v>
      </c>
    </row>
    <row r="3095" spans="1:20" ht="43.5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66"/>
        <v>0.22750000000000001</v>
      </c>
      <c r="P3095">
        <f t="shared" si="367"/>
        <v>2455</v>
      </c>
      <c r="Q3095" t="str">
        <f t="shared" si="364"/>
        <v>theater</v>
      </c>
      <c r="R3095" t="str">
        <f t="shared" si="365"/>
        <v>spaces</v>
      </c>
      <c r="S3095" s="9">
        <f t="shared" si="368"/>
        <v>41760.700706018521</v>
      </c>
      <c r="T3095" s="9">
        <f t="shared" si="369"/>
        <v>41790.957638888889</v>
      </c>
    </row>
    <row r="3096" spans="1:20" ht="29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66"/>
        <v>2.5000000000000001E-4</v>
      </c>
      <c r="P3096">
        <f t="shared" si="367"/>
        <v>50012.5</v>
      </c>
      <c r="Q3096" t="str">
        <f t="shared" si="364"/>
        <v>theater</v>
      </c>
      <c r="R3096" t="str">
        <f t="shared" si="365"/>
        <v>spaces</v>
      </c>
      <c r="S3096" s="9">
        <f t="shared" si="368"/>
        <v>42207.587453703702</v>
      </c>
      <c r="T3096" s="9">
        <f t="shared" si="369"/>
        <v>42267.587453703702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66"/>
        <v>3.351206434316354E-3</v>
      </c>
      <c r="P3097">
        <f t="shared" si="367"/>
        <v>7485</v>
      </c>
      <c r="Q3097" t="str">
        <f t="shared" si="364"/>
        <v>theater</v>
      </c>
      <c r="R3097" t="str">
        <f t="shared" si="365"/>
        <v>spaces</v>
      </c>
      <c r="S3097" s="9">
        <f t="shared" si="368"/>
        <v>42522.81689814815</v>
      </c>
      <c r="T3097" s="9">
        <f t="shared" si="369"/>
        <v>42582.81689814815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66"/>
        <v>3.9750000000000001E-2</v>
      </c>
      <c r="P3098">
        <f t="shared" si="367"/>
        <v>10397.5</v>
      </c>
      <c r="Q3098" t="str">
        <f t="shared" si="364"/>
        <v>theater</v>
      </c>
      <c r="R3098" t="str">
        <f t="shared" si="365"/>
        <v>spaces</v>
      </c>
      <c r="S3098" s="9">
        <f t="shared" si="368"/>
        <v>42114.617199074077</v>
      </c>
      <c r="T3098" s="9">
        <f t="shared" si="369"/>
        <v>42144.617199074077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66"/>
        <v>0.17150000000000001</v>
      </c>
      <c r="P3099">
        <f t="shared" si="367"/>
        <v>5857.5</v>
      </c>
      <c r="Q3099" t="str">
        <f t="shared" si="364"/>
        <v>theater</v>
      </c>
      <c r="R3099" t="str">
        <f t="shared" si="365"/>
        <v>spaces</v>
      </c>
      <c r="S3099" s="9">
        <f t="shared" si="368"/>
        <v>42629.29515046296</v>
      </c>
      <c r="T3099" s="9">
        <f t="shared" si="369"/>
        <v>42650.374999999993</v>
      </c>
    </row>
    <row r="3100" spans="1:20" ht="43.5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66"/>
        <v>3.608004104669061E-2</v>
      </c>
      <c r="P3100">
        <f t="shared" si="367"/>
        <v>25241.5</v>
      </c>
      <c r="Q3100" t="str">
        <f t="shared" si="364"/>
        <v>theater</v>
      </c>
      <c r="R3100" t="str">
        <f t="shared" si="365"/>
        <v>spaces</v>
      </c>
      <c r="S3100" s="9">
        <f t="shared" si="368"/>
        <v>42359.58390046296</v>
      </c>
      <c r="T3100" s="9">
        <f t="shared" si="369"/>
        <v>42407.803472222215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66"/>
        <v>0.13900000000000001</v>
      </c>
      <c r="P3101">
        <f t="shared" si="367"/>
        <v>1139</v>
      </c>
      <c r="Q3101" t="str">
        <f t="shared" si="364"/>
        <v>theater</v>
      </c>
      <c r="R3101" t="str">
        <f t="shared" si="365"/>
        <v>spaces</v>
      </c>
      <c r="S3101" s="9">
        <f t="shared" si="368"/>
        <v>42381.981377314813</v>
      </c>
      <c r="T3101" s="9">
        <f t="shared" si="369"/>
        <v>42411.981377314813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66"/>
        <v>0.15225</v>
      </c>
      <c r="P3102">
        <f t="shared" si="367"/>
        <v>6913.5</v>
      </c>
      <c r="Q3102" t="str">
        <f t="shared" si="364"/>
        <v>theater</v>
      </c>
      <c r="R3102" t="str">
        <f t="shared" si="365"/>
        <v>spaces</v>
      </c>
      <c r="S3102" s="9">
        <f t="shared" si="368"/>
        <v>41902.4140625</v>
      </c>
      <c r="T3102" s="9">
        <f t="shared" si="369"/>
        <v>41932.4140625</v>
      </c>
    </row>
    <row r="3103" spans="1:20" ht="43.5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66"/>
        <v>0.12</v>
      </c>
      <c r="P3103">
        <f t="shared" si="367"/>
        <v>1400</v>
      </c>
      <c r="Q3103" t="str">
        <f t="shared" si="364"/>
        <v>theater</v>
      </c>
      <c r="R3103" t="str">
        <f t="shared" si="365"/>
        <v>spaces</v>
      </c>
      <c r="S3103" s="9">
        <f t="shared" si="368"/>
        <v>42171.175196759257</v>
      </c>
      <c r="T3103" s="9">
        <f t="shared" si="369"/>
        <v>42201.12222222222</v>
      </c>
    </row>
    <row r="3104" spans="1:20" ht="43.5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66"/>
        <v>0.391125</v>
      </c>
      <c r="P3104">
        <f t="shared" si="367"/>
        <v>11129</v>
      </c>
      <c r="Q3104" t="str">
        <f t="shared" si="364"/>
        <v>theater</v>
      </c>
      <c r="R3104" t="str">
        <f t="shared" si="365"/>
        <v>spaces</v>
      </c>
      <c r="S3104" s="9">
        <f t="shared" si="368"/>
        <v>42555.132152777776</v>
      </c>
      <c r="T3104" s="9">
        <f t="shared" si="369"/>
        <v>42605.132152777776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66"/>
        <v>2.6829268292682929E-3</v>
      </c>
      <c r="P3105">
        <f t="shared" si="367"/>
        <v>2055.5</v>
      </c>
      <c r="Q3105" t="str">
        <f t="shared" si="364"/>
        <v>theater</v>
      </c>
      <c r="R3105" t="str">
        <f t="shared" si="365"/>
        <v>spaces</v>
      </c>
      <c r="S3105" s="9">
        <f t="shared" si="368"/>
        <v>42106.94798611111</v>
      </c>
      <c r="T3105" s="9">
        <f t="shared" si="369"/>
        <v>42166.94798611111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66"/>
        <v>0.29625000000000001</v>
      </c>
      <c r="P3106">
        <f t="shared" si="367"/>
        <v>2592.5</v>
      </c>
      <c r="Q3106" t="str">
        <f t="shared" si="364"/>
        <v>theater</v>
      </c>
      <c r="R3106" t="str">
        <f t="shared" si="365"/>
        <v>spaces</v>
      </c>
      <c r="S3106" s="9">
        <f t="shared" si="368"/>
        <v>42006.70035879629</v>
      </c>
      <c r="T3106" s="9">
        <f t="shared" si="369"/>
        <v>42037.874999999993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66"/>
        <v>0.4236099230111206</v>
      </c>
      <c r="P3107">
        <f t="shared" si="367"/>
        <v>4160.5</v>
      </c>
      <c r="Q3107" t="str">
        <f t="shared" si="364"/>
        <v>theater</v>
      </c>
      <c r="R3107" t="str">
        <f t="shared" si="365"/>
        <v>spaces</v>
      </c>
      <c r="S3107" s="9">
        <f t="shared" si="368"/>
        <v>41876.510601851849</v>
      </c>
      <c r="T3107" s="9">
        <f t="shared" si="369"/>
        <v>41931</v>
      </c>
    </row>
    <row r="3108" spans="1:20" ht="43.5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66"/>
        <v>4.1000000000000002E-2</v>
      </c>
      <c r="P3108">
        <f t="shared" si="367"/>
        <v>520.5</v>
      </c>
      <c r="Q3108" t="str">
        <f t="shared" si="364"/>
        <v>theater</v>
      </c>
      <c r="R3108" t="str">
        <f t="shared" si="365"/>
        <v>spaces</v>
      </c>
      <c r="S3108" s="9">
        <f t="shared" si="368"/>
        <v>42241.220787037033</v>
      </c>
      <c r="T3108" s="9">
        <f t="shared" si="369"/>
        <v>42263.708333333336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66"/>
        <v>0.197625</v>
      </c>
      <c r="P3109">
        <f t="shared" si="367"/>
        <v>23952.5</v>
      </c>
      <c r="Q3109" t="str">
        <f t="shared" si="364"/>
        <v>theater</v>
      </c>
      <c r="R3109" t="str">
        <f t="shared" si="365"/>
        <v>spaces</v>
      </c>
      <c r="S3109" s="9">
        <f t="shared" si="368"/>
        <v>42128.605914351851</v>
      </c>
      <c r="T3109" s="9">
        <f t="shared" si="369"/>
        <v>42135.605914351851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66"/>
        <v>5.1999999999999995E-4</v>
      </c>
      <c r="P3110">
        <f t="shared" si="367"/>
        <v>25013</v>
      </c>
      <c r="Q3110" t="str">
        <f t="shared" si="364"/>
        <v>theater</v>
      </c>
      <c r="R3110" t="str">
        <f t="shared" si="365"/>
        <v>spaces</v>
      </c>
      <c r="S3110" s="9">
        <f t="shared" si="368"/>
        <v>42062.47215277778</v>
      </c>
      <c r="T3110" s="9">
        <f t="shared" si="369"/>
        <v>42122.430486111109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66"/>
        <v>0.25030188679245285</v>
      </c>
      <c r="P3111">
        <f t="shared" si="367"/>
        <v>16566.5</v>
      </c>
      <c r="Q3111" t="str">
        <f t="shared" si="364"/>
        <v>theater</v>
      </c>
      <c r="R3111" t="str">
        <f t="shared" si="365"/>
        <v>spaces</v>
      </c>
      <c r="S3111" s="9">
        <f t="shared" si="368"/>
        <v>41843.916782407403</v>
      </c>
      <c r="T3111" s="9">
        <f t="shared" si="369"/>
        <v>41878.916782407403</v>
      </c>
    </row>
    <row r="3112" spans="1:20" ht="29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66"/>
        <v>4.0000000000000002E-4</v>
      </c>
      <c r="P3112">
        <f t="shared" si="367"/>
        <v>12505</v>
      </c>
      <c r="Q3112" t="str">
        <f t="shared" ref="Q3112:Q3129" si="370">IF(N3112="theater/spaces","theater")</f>
        <v>theater</v>
      </c>
      <c r="R3112" t="str">
        <f t="shared" ref="R3112:R3129" si="371">IF(N3112="theater/spaces","spaces")</f>
        <v>spaces</v>
      </c>
      <c r="S3112" s="9">
        <f t="shared" si="368"/>
        <v>42744.823136574072</v>
      </c>
      <c r="T3112" s="9">
        <f t="shared" si="369"/>
        <v>42784.823136574072</v>
      </c>
    </row>
    <row r="3113" spans="1:20" ht="29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66"/>
        <v>0.26640000000000003</v>
      </c>
      <c r="P3113">
        <f t="shared" si="367"/>
        <v>12664</v>
      </c>
      <c r="Q3113" t="str">
        <f t="shared" si="370"/>
        <v>theater</v>
      </c>
      <c r="R3113" t="str">
        <f t="shared" si="371"/>
        <v>spaces</v>
      </c>
      <c r="S3113" s="9">
        <f t="shared" si="368"/>
        <v>41885.386805555558</v>
      </c>
      <c r="T3113" s="9">
        <f t="shared" si="369"/>
        <v>41916.386805555558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66"/>
        <v>4.7363636363636365E-2</v>
      </c>
      <c r="P3114">
        <f t="shared" si="367"/>
        <v>5760.5</v>
      </c>
      <c r="Q3114" t="str">
        <f t="shared" si="370"/>
        <v>theater</v>
      </c>
      <c r="R3114" t="str">
        <f t="shared" si="371"/>
        <v>spaces</v>
      </c>
      <c r="S3114" s="9">
        <f t="shared" si="368"/>
        <v>42614.913587962961</v>
      </c>
      <c r="T3114" s="9">
        <f t="shared" si="369"/>
        <v>42674.913587962961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66"/>
        <v>4.2435339894712751E-2</v>
      </c>
      <c r="P3115">
        <f t="shared" si="367"/>
        <v>56930</v>
      </c>
      <c r="Q3115" t="str">
        <f t="shared" si="370"/>
        <v>theater</v>
      </c>
      <c r="R3115" t="str">
        <f t="shared" si="371"/>
        <v>spaces</v>
      </c>
      <c r="S3115" s="9">
        <f t="shared" si="368"/>
        <v>42081.522939814815</v>
      </c>
      <c r="T3115" s="9">
        <f t="shared" si="369"/>
        <v>42111.522939814815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66"/>
        <v>0</v>
      </c>
      <c r="P3116">
        <f t="shared" si="367"/>
        <v>37500</v>
      </c>
      <c r="Q3116" t="str">
        <f t="shared" si="370"/>
        <v>theater</v>
      </c>
      <c r="R3116" t="str">
        <f t="shared" si="371"/>
        <v>spaces</v>
      </c>
      <c r="S3116" s="9">
        <f t="shared" si="368"/>
        <v>41843.42418981481</v>
      </c>
      <c r="T3116" s="9">
        <f t="shared" si="369"/>
        <v>41903.42418981481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66"/>
        <v>0.03</v>
      </c>
      <c r="P3117">
        <f t="shared" si="367"/>
        <v>5150</v>
      </c>
      <c r="Q3117" t="str">
        <f t="shared" si="370"/>
        <v>theater</v>
      </c>
      <c r="R3117" t="str">
        <f t="shared" si="371"/>
        <v>spaces</v>
      </c>
      <c r="S3117" s="9">
        <f t="shared" si="368"/>
        <v>42496.238738425927</v>
      </c>
      <c r="T3117" s="9">
        <f t="shared" si="369"/>
        <v>42526.238738425927</v>
      </c>
    </row>
    <row r="3118" spans="1:20" ht="29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66"/>
        <v>0.57333333333333336</v>
      </c>
      <c r="P3118">
        <f t="shared" si="367"/>
        <v>590</v>
      </c>
      <c r="Q3118" t="str">
        <f t="shared" si="370"/>
        <v>theater</v>
      </c>
      <c r="R3118" t="str">
        <f t="shared" si="371"/>
        <v>spaces</v>
      </c>
      <c r="S3118" s="9">
        <f t="shared" si="368"/>
        <v>42081.30700231481</v>
      </c>
      <c r="T3118" s="9">
        <f t="shared" si="369"/>
        <v>42095.30700231481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66"/>
        <v>1E-3</v>
      </c>
      <c r="P3119">
        <f t="shared" si="367"/>
        <v>500.5</v>
      </c>
      <c r="Q3119" t="str">
        <f t="shared" si="370"/>
        <v>theater</v>
      </c>
      <c r="R3119" t="str">
        <f t="shared" si="371"/>
        <v>spaces</v>
      </c>
      <c r="S3119" s="9">
        <f t="shared" si="368"/>
        <v>42509.166203703702</v>
      </c>
      <c r="T3119" s="9">
        <f t="shared" si="369"/>
        <v>42517.341666666667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66"/>
        <v>3.0999999999999999E-3</v>
      </c>
      <c r="P3120">
        <f t="shared" si="367"/>
        <v>250775</v>
      </c>
      <c r="Q3120" t="str">
        <f t="shared" si="370"/>
        <v>theater</v>
      </c>
      <c r="R3120" t="str">
        <f t="shared" si="371"/>
        <v>spaces</v>
      </c>
      <c r="S3120" s="9">
        <f t="shared" si="368"/>
        <v>42534.441238425927</v>
      </c>
      <c r="T3120" s="9">
        <f t="shared" si="369"/>
        <v>42553.441238425927</v>
      </c>
    </row>
    <row r="3121" spans="1:20" ht="43.5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66"/>
        <v>5.0000000000000001E-4</v>
      </c>
      <c r="P3121">
        <f t="shared" si="367"/>
        <v>5002.5</v>
      </c>
      <c r="Q3121" t="str">
        <f t="shared" si="370"/>
        <v>theater</v>
      </c>
      <c r="R3121" t="str">
        <f t="shared" si="371"/>
        <v>spaces</v>
      </c>
      <c r="S3121" s="9">
        <f t="shared" si="368"/>
        <v>42059.837175925924</v>
      </c>
      <c r="T3121" s="9">
        <f t="shared" si="369"/>
        <v>42089.795509259253</v>
      </c>
    </row>
    <row r="3122" spans="1:20" ht="29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66"/>
        <v>9.8461538461538464E-5</v>
      </c>
      <c r="P3122">
        <f t="shared" si="367"/>
        <v>650064</v>
      </c>
      <c r="Q3122" t="str">
        <f t="shared" si="370"/>
        <v>theater</v>
      </c>
      <c r="R3122" t="str">
        <f t="shared" si="371"/>
        <v>spaces</v>
      </c>
      <c r="S3122" s="9">
        <f t="shared" si="368"/>
        <v>42435.733749999992</v>
      </c>
      <c r="T3122" s="9">
        <f t="shared" si="369"/>
        <v>42495.692083333335</v>
      </c>
    </row>
    <row r="3123" spans="1:20" ht="29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66"/>
        <v>6.6666666666666671E-3</v>
      </c>
      <c r="P3123">
        <f t="shared" si="367"/>
        <v>755</v>
      </c>
      <c r="Q3123" t="str">
        <f t="shared" si="370"/>
        <v>theater</v>
      </c>
      <c r="R3123" t="str">
        <f t="shared" si="371"/>
        <v>spaces</v>
      </c>
      <c r="S3123" s="9">
        <f t="shared" si="368"/>
        <v>41848.471469907403</v>
      </c>
      <c r="T3123" s="9">
        <f t="shared" si="369"/>
        <v>41908.471469907403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66"/>
        <v>0.58291457286432158</v>
      </c>
      <c r="P3124">
        <f t="shared" si="367"/>
        <v>157.5</v>
      </c>
      <c r="Q3124" t="str">
        <f t="shared" si="370"/>
        <v>theater</v>
      </c>
      <c r="R3124" t="str">
        <f t="shared" si="371"/>
        <v>spaces</v>
      </c>
      <c r="S3124" s="9">
        <f t="shared" si="368"/>
        <v>42678.723749999997</v>
      </c>
      <c r="T3124" s="9">
        <f t="shared" si="369"/>
        <v>42683.765416666669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66"/>
        <v>0.68153600000000003</v>
      </c>
      <c r="P3125">
        <f t="shared" si="367"/>
        <v>105096</v>
      </c>
      <c r="Q3125" t="str">
        <f t="shared" si="370"/>
        <v>theater</v>
      </c>
      <c r="R3125" t="str">
        <f t="shared" si="371"/>
        <v>spaces</v>
      </c>
      <c r="S3125" s="9">
        <f t="shared" si="368"/>
        <v>42530.784699074073</v>
      </c>
      <c r="T3125" s="9">
        <f t="shared" si="369"/>
        <v>42560.784699074073</v>
      </c>
    </row>
    <row r="3126" spans="1:20" ht="29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66"/>
        <v>3.2499999999999997E-5</v>
      </c>
      <c r="P3126">
        <f t="shared" si="367"/>
        <v>400013</v>
      </c>
      <c r="Q3126" t="str">
        <f t="shared" si="370"/>
        <v>theater</v>
      </c>
      <c r="R3126" t="str">
        <f t="shared" si="371"/>
        <v>spaces</v>
      </c>
      <c r="S3126" s="9">
        <f t="shared" si="368"/>
        <v>41977.571770833332</v>
      </c>
      <c r="T3126" s="9">
        <f t="shared" si="369"/>
        <v>42037.571770833332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66"/>
        <v>0</v>
      </c>
      <c r="P3127">
        <f t="shared" si="367"/>
        <v>750000</v>
      </c>
      <c r="Q3127" t="str">
        <f t="shared" si="370"/>
        <v>theater</v>
      </c>
      <c r="R3127" t="str">
        <f t="shared" si="371"/>
        <v>spaces</v>
      </c>
      <c r="S3127" s="9">
        <f t="shared" si="368"/>
        <v>42345.998518518514</v>
      </c>
      <c r="T3127" s="9">
        <f t="shared" si="369"/>
        <v>42375.998518518514</v>
      </c>
    </row>
    <row r="3128" spans="1:20" ht="58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66"/>
        <v>4.1599999999999998E-2</v>
      </c>
      <c r="P3128">
        <f t="shared" si="367"/>
        <v>13020</v>
      </c>
      <c r="Q3128" t="str">
        <f t="shared" si="370"/>
        <v>theater</v>
      </c>
      <c r="R3128" t="str">
        <f t="shared" si="371"/>
        <v>spaces</v>
      </c>
      <c r="S3128" s="9">
        <f t="shared" si="368"/>
        <v>42426.809745370367</v>
      </c>
      <c r="T3128" s="9">
        <f t="shared" si="369"/>
        <v>42456.768078703702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66"/>
        <v>0</v>
      </c>
      <c r="P3129">
        <f t="shared" si="367"/>
        <v>50000</v>
      </c>
      <c r="Q3129" t="str">
        <f t="shared" si="370"/>
        <v>theater</v>
      </c>
      <c r="R3129" t="str">
        <f t="shared" si="371"/>
        <v>spaces</v>
      </c>
      <c r="S3129" s="9">
        <f t="shared" si="368"/>
        <v>42034.648483796293</v>
      </c>
      <c r="T3129" s="9">
        <f t="shared" si="369"/>
        <v>42064.648483796293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66"/>
        <v>1.0860666666666667</v>
      </c>
      <c r="P3130">
        <f t="shared" si="367"/>
        <v>15645.5</v>
      </c>
      <c r="Q3130" t="str">
        <f>IF(N3130="theater/plays","theater")</f>
        <v>theater</v>
      </c>
      <c r="R3130" t="str">
        <f>IF(N3130="theater/plays","plays")</f>
        <v>plays</v>
      </c>
      <c r="S3130" s="9">
        <f t="shared" si="368"/>
        <v>42780.617372685178</v>
      </c>
      <c r="T3130" s="9">
        <f t="shared" si="369"/>
        <v>42810.575706018521</v>
      </c>
    </row>
    <row r="3131" spans="1:20" ht="43.5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66"/>
        <v>8.0000000000000002E-3</v>
      </c>
      <c r="P3131">
        <f t="shared" si="367"/>
        <v>630</v>
      </c>
      <c r="Q3131" t="str">
        <f t="shared" ref="Q3131:Q3189" si="372">IF(N3131="theater/plays","theater")</f>
        <v>theater</v>
      </c>
      <c r="R3131" t="str">
        <f t="shared" ref="R3131:R3189" si="373">IF(N3131="theater/plays","plays")</f>
        <v>plays</v>
      </c>
      <c r="S3131" s="9">
        <f t="shared" si="368"/>
        <v>42803.634479166663</v>
      </c>
      <c r="T3131" s="9">
        <f t="shared" si="369"/>
        <v>42843.592812499999</v>
      </c>
    </row>
    <row r="3132" spans="1:20" ht="29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66"/>
        <v>3.7499999999999999E-2</v>
      </c>
      <c r="P3132">
        <f t="shared" si="367"/>
        <v>5187.5</v>
      </c>
      <c r="Q3132" t="str">
        <f t="shared" si="372"/>
        <v>theater</v>
      </c>
      <c r="R3132" t="str">
        <f t="shared" si="373"/>
        <v>plays</v>
      </c>
      <c r="S3132" s="9">
        <f t="shared" si="368"/>
        <v>42808.431898148141</v>
      </c>
      <c r="T3132" s="9">
        <f t="shared" si="369"/>
        <v>42838.999305555553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66"/>
        <v>0.15731707317073171</v>
      </c>
      <c r="P3133">
        <f t="shared" si="367"/>
        <v>2372.5</v>
      </c>
      <c r="Q3133" t="str">
        <f t="shared" si="372"/>
        <v>theater</v>
      </c>
      <c r="R3133" t="str">
        <f t="shared" si="373"/>
        <v>plays</v>
      </c>
      <c r="S3133" s="9">
        <f t="shared" si="368"/>
        <v>42803.370891203704</v>
      </c>
      <c r="T3133" s="9">
        <f t="shared" si="369"/>
        <v>42833.329224537032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66"/>
        <v>3.3333333333333332E-4</v>
      </c>
      <c r="P3134">
        <f t="shared" si="367"/>
        <v>15005</v>
      </c>
      <c r="Q3134" t="str">
        <f t="shared" si="372"/>
        <v>theater</v>
      </c>
      <c r="R3134" t="str">
        <f t="shared" si="373"/>
        <v>plays</v>
      </c>
      <c r="S3134" s="9">
        <f t="shared" si="368"/>
        <v>42786.141898148147</v>
      </c>
      <c r="T3134" s="9">
        <f t="shared" si="369"/>
        <v>42846.100231481476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66"/>
        <v>1.08</v>
      </c>
      <c r="P3135">
        <f t="shared" si="367"/>
        <v>520</v>
      </c>
      <c r="Q3135" t="str">
        <f t="shared" si="372"/>
        <v>theater</v>
      </c>
      <c r="R3135" t="str">
        <f t="shared" si="373"/>
        <v>plays</v>
      </c>
      <c r="S3135" s="9">
        <f t="shared" si="368"/>
        <v>42788.356874999998</v>
      </c>
      <c r="T3135" s="9">
        <f t="shared" si="369"/>
        <v>42818.315208333333</v>
      </c>
    </row>
    <row r="3136" spans="1:20" ht="43.5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66"/>
        <v>0.22500000000000001</v>
      </c>
      <c r="P3136">
        <f t="shared" si="367"/>
        <v>612.5</v>
      </c>
      <c r="Q3136" t="str">
        <f t="shared" si="372"/>
        <v>theater</v>
      </c>
      <c r="R3136" t="str">
        <f t="shared" si="373"/>
        <v>plays</v>
      </c>
      <c r="S3136" s="9">
        <f t="shared" si="368"/>
        <v>42800.511793981474</v>
      </c>
      <c r="T3136" s="9">
        <f t="shared" si="369"/>
        <v>42821.470127314817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66"/>
        <v>0.20849420849420849</v>
      </c>
      <c r="P3137">
        <f t="shared" si="367"/>
        <v>469.5</v>
      </c>
      <c r="Q3137" t="str">
        <f t="shared" si="372"/>
        <v>theater</v>
      </c>
      <c r="R3137" t="str">
        <f t="shared" si="373"/>
        <v>plays</v>
      </c>
      <c r="S3137" s="9">
        <f t="shared" si="368"/>
        <v>42806.943530092591</v>
      </c>
      <c r="T3137" s="9">
        <f t="shared" si="369"/>
        <v>42828.943530092591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66"/>
        <v>1.278</v>
      </c>
      <c r="P3138">
        <f t="shared" si="367"/>
        <v>569.5</v>
      </c>
      <c r="Q3138" t="str">
        <f t="shared" si="372"/>
        <v>theater</v>
      </c>
      <c r="R3138" t="str">
        <f t="shared" si="373"/>
        <v>plays</v>
      </c>
      <c r="S3138" s="9">
        <f t="shared" si="368"/>
        <v>42789.25409722222</v>
      </c>
      <c r="T3138" s="9">
        <f t="shared" si="369"/>
        <v>42825.749305555553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374">E3139/D3139</f>
        <v>3.3333333333333333E-2</v>
      </c>
      <c r="P3139">
        <f t="shared" ref="P3139:P3202" si="375">AVERAGE(D3139:E3139)</f>
        <v>775</v>
      </c>
      <c r="Q3139" t="str">
        <f t="shared" si="372"/>
        <v>theater</v>
      </c>
      <c r="R3139" t="str">
        <f t="shared" si="373"/>
        <v>plays</v>
      </c>
      <c r="S3139" s="9">
        <f t="shared" ref="S3139:S3202" si="376">J3139/86400+25569+(-5/24)</f>
        <v>42807.676724537036</v>
      </c>
      <c r="T3139" s="9">
        <f t="shared" si="369"/>
        <v>42858.591666666667</v>
      </c>
    </row>
    <row r="3140" spans="1:20" ht="43.5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74"/>
        <v>0</v>
      </c>
      <c r="P3140">
        <f t="shared" si="375"/>
        <v>100</v>
      </c>
      <c r="Q3140" t="str">
        <f t="shared" si="372"/>
        <v>theater</v>
      </c>
      <c r="R3140" t="str">
        <f t="shared" si="373"/>
        <v>plays</v>
      </c>
      <c r="S3140" s="9">
        <f t="shared" si="376"/>
        <v>42809.437581018516</v>
      </c>
      <c r="T3140" s="9">
        <f t="shared" ref="T3140:T3203" si="377">I3140/86400+25569+(-5/24)</f>
        <v>42828.437581018516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74"/>
        <v>5.3999999999999999E-2</v>
      </c>
      <c r="P3141">
        <f t="shared" si="375"/>
        <v>26350</v>
      </c>
      <c r="Q3141" t="str">
        <f t="shared" si="372"/>
        <v>theater</v>
      </c>
      <c r="R3141" t="str">
        <f t="shared" si="373"/>
        <v>plays</v>
      </c>
      <c r="S3141" s="9">
        <f t="shared" si="376"/>
        <v>42785.062037037038</v>
      </c>
      <c r="T3141" s="9">
        <f t="shared" si="377"/>
        <v>42818.981249999997</v>
      </c>
    </row>
    <row r="3142" spans="1:20" ht="43.5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74"/>
        <v>9.5999999999999992E-3</v>
      </c>
      <c r="P3142">
        <f t="shared" si="375"/>
        <v>5048</v>
      </c>
      <c r="Q3142" t="str">
        <f t="shared" si="372"/>
        <v>theater</v>
      </c>
      <c r="R3142" t="str">
        <f t="shared" si="373"/>
        <v>plays</v>
      </c>
      <c r="S3142" s="9">
        <f t="shared" si="376"/>
        <v>42802.510451388887</v>
      </c>
      <c r="T3142" s="9">
        <f t="shared" si="377"/>
        <v>42832.468784722216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74"/>
        <v>0.51600000000000001</v>
      </c>
      <c r="P3143">
        <f t="shared" si="375"/>
        <v>379</v>
      </c>
      <c r="Q3143" t="str">
        <f t="shared" si="372"/>
        <v>theater</v>
      </c>
      <c r="R3143" t="str">
        <f t="shared" si="373"/>
        <v>plays</v>
      </c>
      <c r="S3143" s="9">
        <f t="shared" si="376"/>
        <v>42800.544999999998</v>
      </c>
      <c r="T3143" s="9">
        <f t="shared" si="377"/>
        <v>42841.624999999993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74"/>
        <v>1.6363636363636365E-2</v>
      </c>
      <c r="P3144">
        <f t="shared" si="375"/>
        <v>1397.5</v>
      </c>
      <c r="Q3144" t="str">
        <f t="shared" si="372"/>
        <v>theater</v>
      </c>
      <c r="R3144" t="str">
        <f t="shared" si="373"/>
        <v>plays</v>
      </c>
      <c r="S3144" s="9">
        <f t="shared" si="376"/>
        <v>42783.304849537039</v>
      </c>
      <c r="T3144" s="9">
        <f t="shared" si="377"/>
        <v>42813.263182870367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74"/>
        <v>0</v>
      </c>
      <c r="P3145">
        <f t="shared" si="375"/>
        <v>350</v>
      </c>
      <c r="Q3145" t="str">
        <f t="shared" si="372"/>
        <v>theater</v>
      </c>
      <c r="R3145" t="str">
        <f t="shared" si="373"/>
        <v>plays</v>
      </c>
      <c r="S3145" s="9">
        <f t="shared" si="376"/>
        <v>42808.149953703702</v>
      </c>
      <c r="T3145" s="9">
        <f t="shared" si="377"/>
        <v>42834.149953703702</v>
      </c>
    </row>
    <row r="3146" spans="1:20" ht="43.5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74"/>
        <v>0.754</v>
      </c>
      <c r="P3146">
        <f t="shared" si="375"/>
        <v>8770</v>
      </c>
      <c r="Q3146" t="str">
        <f t="shared" si="372"/>
        <v>theater</v>
      </c>
      <c r="R3146" t="str">
        <f t="shared" si="373"/>
        <v>plays</v>
      </c>
      <c r="S3146" s="9">
        <f t="shared" si="376"/>
        <v>42796.329942129632</v>
      </c>
      <c r="T3146" s="9">
        <f t="shared" si="377"/>
        <v>42813.041666666664</v>
      </c>
    </row>
    <row r="3147" spans="1:20" ht="29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74"/>
        <v>0</v>
      </c>
      <c r="P3147">
        <f t="shared" si="375"/>
        <v>12500</v>
      </c>
      <c r="Q3147" t="str">
        <f t="shared" si="372"/>
        <v>theater</v>
      </c>
      <c r="R3147" t="str">
        <f t="shared" si="373"/>
        <v>plays</v>
      </c>
      <c r="S3147" s="9">
        <f t="shared" si="376"/>
        <v>42761.832569444443</v>
      </c>
      <c r="T3147" s="9">
        <f t="shared" si="377"/>
        <v>42821.790902777771</v>
      </c>
    </row>
    <row r="3148" spans="1:20" ht="29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74"/>
        <v>0.105</v>
      </c>
      <c r="P3148">
        <f t="shared" si="375"/>
        <v>27625</v>
      </c>
      <c r="Q3148" t="str">
        <f t="shared" si="372"/>
        <v>theater</v>
      </c>
      <c r="R3148" t="str">
        <f t="shared" si="373"/>
        <v>plays</v>
      </c>
      <c r="S3148" s="9">
        <f t="shared" si="376"/>
        <v>42796.474143518521</v>
      </c>
      <c r="T3148" s="9">
        <f t="shared" si="377"/>
        <v>42841.432476851849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74"/>
        <v>1.1752499999999999</v>
      </c>
      <c r="P3149">
        <f t="shared" si="375"/>
        <v>21752.5</v>
      </c>
      <c r="Q3149" t="str">
        <f t="shared" si="372"/>
        <v>theater</v>
      </c>
      <c r="R3149" t="str">
        <f t="shared" si="373"/>
        <v>plays</v>
      </c>
      <c r="S3149" s="9">
        <f t="shared" si="376"/>
        <v>41909.761053240734</v>
      </c>
      <c r="T3149" s="9">
        <f t="shared" si="377"/>
        <v>41949.802719907406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74"/>
        <v>1.3116666666666668</v>
      </c>
      <c r="P3150">
        <f t="shared" si="375"/>
        <v>2080.5</v>
      </c>
      <c r="Q3150" t="str">
        <f t="shared" si="372"/>
        <v>theater</v>
      </c>
      <c r="R3150" t="str">
        <f t="shared" si="373"/>
        <v>plays</v>
      </c>
      <c r="S3150" s="9">
        <f t="shared" si="376"/>
        <v>41891.456990740735</v>
      </c>
      <c r="T3150" s="9">
        <f t="shared" si="377"/>
        <v>41912.958333333328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74"/>
        <v>1.04</v>
      </c>
      <c r="P3151">
        <f t="shared" si="375"/>
        <v>1275</v>
      </c>
      <c r="Q3151" t="str">
        <f t="shared" si="372"/>
        <v>theater</v>
      </c>
      <c r="R3151" t="str">
        <f t="shared" si="373"/>
        <v>plays</v>
      </c>
      <c r="S3151" s="9">
        <f t="shared" si="376"/>
        <v>41225.809027777774</v>
      </c>
      <c r="T3151" s="9">
        <f t="shared" si="377"/>
        <v>41249.875</v>
      </c>
    </row>
    <row r="3152" spans="1:20" ht="43.5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74"/>
        <v>1.01</v>
      </c>
      <c r="P3152">
        <f t="shared" si="375"/>
        <v>3517.5</v>
      </c>
      <c r="Q3152" t="str">
        <f t="shared" si="372"/>
        <v>theater</v>
      </c>
      <c r="R3152" t="str">
        <f t="shared" si="373"/>
        <v>plays</v>
      </c>
      <c r="S3152" s="9">
        <f t="shared" si="376"/>
        <v>40478.055590277778</v>
      </c>
      <c r="T3152" s="9">
        <f t="shared" si="377"/>
        <v>40567.958333333328</v>
      </c>
    </row>
    <row r="3153" spans="1:20" ht="29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74"/>
        <v>1.004</v>
      </c>
      <c r="P3153">
        <f t="shared" si="375"/>
        <v>3507</v>
      </c>
      <c r="Q3153" t="str">
        <f t="shared" si="372"/>
        <v>theater</v>
      </c>
      <c r="R3153" t="str">
        <f t="shared" si="373"/>
        <v>plays</v>
      </c>
      <c r="S3153" s="9">
        <f t="shared" si="376"/>
        <v>41862.631643518514</v>
      </c>
      <c r="T3153" s="9">
        <f t="shared" si="377"/>
        <v>41892.631643518514</v>
      </c>
    </row>
    <row r="3154" spans="1:20" ht="29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74"/>
        <v>1.0595454545454546</v>
      </c>
      <c r="P3154">
        <f t="shared" si="375"/>
        <v>2265.5</v>
      </c>
      <c r="Q3154" t="str">
        <f t="shared" si="372"/>
        <v>theater</v>
      </c>
      <c r="R3154" t="str">
        <f t="shared" si="373"/>
        <v>plays</v>
      </c>
      <c r="S3154" s="9">
        <f t="shared" si="376"/>
        <v>41550.659340277773</v>
      </c>
      <c r="T3154" s="9">
        <f t="shared" si="377"/>
        <v>41580.659340277773</v>
      </c>
    </row>
    <row r="3155" spans="1:20" ht="29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74"/>
        <v>3.3558333333333334</v>
      </c>
      <c r="P3155">
        <f t="shared" si="375"/>
        <v>6533.75</v>
      </c>
      <c r="Q3155" t="str">
        <f t="shared" si="372"/>
        <v>theater</v>
      </c>
      <c r="R3155" t="str">
        <f t="shared" si="373"/>
        <v>plays</v>
      </c>
      <c r="S3155" s="9">
        <f t="shared" si="376"/>
        <v>40632.946030092593</v>
      </c>
      <c r="T3155" s="9">
        <f t="shared" si="377"/>
        <v>40663.999305555553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74"/>
        <v>1.1292857142857142</v>
      </c>
      <c r="P3156">
        <f t="shared" si="375"/>
        <v>7452.5</v>
      </c>
      <c r="Q3156" t="str">
        <f t="shared" si="372"/>
        <v>theater</v>
      </c>
      <c r="R3156" t="str">
        <f t="shared" si="373"/>
        <v>plays</v>
      </c>
      <c r="S3156" s="9">
        <f t="shared" si="376"/>
        <v>40970.667337962957</v>
      </c>
      <c r="T3156" s="9">
        <f t="shared" si="377"/>
        <v>41000.625671296293</v>
      </c>
    </row>
    <row r="3157" spans="1:20" ht="29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74"/>
        <v>1.885046</v>
      </c>
      <c r="P3157">
        <f t="shared" si="375"/>
        <v>7212.6149999999998</v>
      </c>
      <c r="Q3157" t="str">
        <f t="shared" si="372"/>
        <v>theater</v>
      </c>
      <c r="R3157" t="str">
        <f t="shared" si="373"/>
        <v>plays</v>
      </c>
      <c r="S3157" s="9">
        <f t="shared" si="376"/>
        <v>41233.290798611109</v>
      </c>
      <c r="T3157" s="9">
        <f t="shared" si="377"/>
        <v>41263.290798611109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74"/>
        <v>1.0181818181818181</v>
      </c>
      <c r="P3158">
        <f t="shared" si="375"/>
        <v>5550</v>
      </c>
      <c r="Q3158" t="str">
        <f t="shared" si="372"/>
        <v>theater</v>
      </c>
      <c r="R3158" t="str">
        <f t="shared" si="373"/>
        <v>plays</v>
      </c>
      <c r="S3158" s="9">
        <f t="shared" si="376"/>
        <v>41026.744722222218</v>
      </c>
      <c r="T3158" s="9">
        <f t="shared" si="377"/>
        <v>41061.744722222218</v>
      </c>
    </row>
    <row r="3159" spans="1:20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74"/>
        <v>1.01</v>
      </c>
      <c r="P3159">
        <f t="shared" si="375"/>
        <v>4020</v>
      </c>
      <c r="Q3159" t="str">
        <f t="shared" si="372"/>
        <v>theater</v>
      </c>
      <c r="R3159" t="str">
        <f t="shared" si="373"/>
        <v>plays</v>
      </c>
      <c r="S3159" s="9">
        <f t="shared" si="376"/>
        <v>41829.579918981479</v>
      </c>
      <c r="T3159" s="9">
        <f t="shared" si="377"/>
        <v>41839</v>
      </c>
    </row>
    <row r="3160" spans="1:20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74"/>
        <v>1.1399999999999999</v>
      </c>
      <c r="P3160">
        <f t="shared" si="375"/>
        <v>5350</v>
      </c>
      <c r="Q3160" t="str">
        <f t="shared" si="372"/>
        <v>theater</v>
      </c>
      <c r="R3160" t="str">
        <f t="shared" si="373"/>
        <v>plays</v>
      </c>
      <c r="S3160" s="9">
        <f t="shared" si="376"/>
        <v>41447.631388888891</v>
      </c>
      <c r="T3160" s="9">
        <f t="shared" si="377"/>
        <v>41477.631388888891</v>
      </c>
    </row>
    <row r="3161" spans="1:20" ht="29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74"/>
        <v>1.3348133333333334</v>
      </c>
      <c r="P3161">
        <f t="shared" si="375"/>
        <v>1751.1100000000001</v>
      </c>
      <c r="Q3161" t="str">
        <f t="shared" si="372"/>
        <v>theater</v>
      </c>
      <c r="R3161" t="str">
        <f t="shared" si="373"/>
        <v>plays</v>
      </c>
      <c r="S3161" s="9">
        <f t="shared" si="376"/>
        <v>40883.858344907407</v>
      </c>
      <c r="T3161" s="9">
        <f t="shared" si="377"/>
        <v>40926.75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74"/>
        <v>1.0153333333333334</v>
      </c>
      <c r="P3162">
        <f t="shared" si="375"/>
        <v>4534.5</v>
      </c>
      <c r="Q3162" t="str">
        <f t="shared" si="372"/>
        <v>theater</v>
      </c>
      <c r="R3162" t="str">
        <f t="shared" si="373"/>
        <v>plays</v>
      </c>
      <c r="S3162" s="9">
        <f t="shared" si="376"/>
        <v>41841.056562499994</v>
      </c>
      <c r="T3162" s="9">
        <f t="shared" si="377"/>
        <v>41863.999305555553</v>
      </c>
    </row>
    <row r="3163" spans="1:20" ht="43.5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74"/>
        <v>1.0509999999999999</v>
      </c>
      <c r="P3163">
        <f t="shared" si="375"/>
        <v>2051</v>
      </c>
      <c r="Q3163" t="str">
        <f t="shared" si="372"/>
        <v>theater</v>
      </c>
      <c r="R3163" t="str">
        <f t="shared" si="373"/>
        <v>plays</v>
      </c>
      <c r="S3163" s="9">
        <f t="shared" si="376"/>
        <v>41897.327800925923</v>
      </c>
      <c r="T3163" s="9">
        <f t="shared" si="377"/>
        <v>41927.327800925923</v>
      </c>
    </row>
    <row r="3164" spans="1:20" ht="43.5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74"/>
        <v>1.2715000000000001</v>
      </c>
      <c r="P3164">
        <f t="shared" si="375"/>
        <v>4543</v>
      </c>
      <c r="Q3164" t="str">
        <f t="shared" si="372"/>
        <v>theater</v>
      </c>
      <c r="R3164" t="str">
        <f t="shared" si="373"/>
        <v>plays</v>
      </c>
      <c r="S3164" s="9">
        <f t="shared" si="376"/>
        <v>41799.47756944444</v>
      </c>
      <c r="T3164" s="9">
        <f t="shared" si="377"/>
        <v>41826.875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74"/>
        <v>1.1115384615384616</v>
      </c>
      <c r="P3165">
        <f t="shared" si="375"/>
        <v>13725</v>
      </c>
      <c r="Q3165" t="str">
        <f t="shared" si="372"/>
        <v>theater</v>
      </c>
      <c r="R3165" t="str">
        <f t="shared" si="373"/>
        <v>plays</v>
      </c>
      <c r="S3165" s="9">
        <f t="shared" si="376"/>
        <v>41775.545428240737</v>
      </c>
      <c r="T3165" s="9">
        <f t="shared" si="377"/>
        <v>41805.545428240737</v>
      </c>
    </row>
    <row r="3166" spans="1:20" ht="43.5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74"/>
        <v>1.0676000000000001</v>
      </c>
      <c r="P3166">
        <f t="shared" si="375"/>
        <v>2584.5</v>
      </c>
      <c r="Q3166" t="str">
        <f t="shared" si="372"/>
        <v>theater</v>
      </c>
      <c r="R3166" t="str">
        <f t="shared" si="373"/>
        <v>plays</v>
      </c>
      <c r="S3166" s="9">
        <f t="shared" si="376"/>
        <v>41766.597395833327</v>
      </c>
      <c r="T3166" s="9">
        <f t="shared" si="377"/>
        <v>41799.597395833327</v>
      </c>
    </row>
    <row r="3167" spans="1:20" ht="43.5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74"/>
        <v>1.6266666666666667</v>
      </c>
      <c r="P3167">
        <f t="shared" si="375"/>
        <v>985</v>
      </c>
      <c r="Q3167" t="str">
        <f t="shared" si="372"/>
        <v>theater</v>
      </c>
      <c r="R3167" t="str">
        <f t="shared" si="373"/>
        <v>plays</v>
      </c>
      <c r="S3167" s="9">
        <f t="shared" si="376"/>
        <v>40643.950925925921</v>
      </c>
      <c r="T3167" s="9">
        <f t="shared" si="377"/>
        <v>40665.957638888889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74"/>
        <v>1.6022808571428573</v>
      </c>
      <c r="P3168">
        <f t="shared" si="375"/>
        <v>45539.915000000001</v>
      </c>
      <c r="Q3168" t="str">
        <f t="shared" si="372"/>
        <v>theater</v>
      </c>
      <c r="R3168" t="str">
        <f t="shared" si="373"/>
        <v>plays</v>
      </c>
      <c r="S3168" s="9">
        <f t="shared" si="376"/>
        <v>41940.483252314814</v>
      </c>
      <c r="T3168" s="9">
        <f t="shared" si="377"/>
        <v>41969.124305555553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74"/>
        <v>1.1616666666666666</v>
      </c>
      <c r="P3169">
        <f t="shared" si="375"/>
        <v>3242.5</v>
      </c>
      <c r="Q3169" t="str">
        <f t="shared" si="372"/>
        <v>theater</v>
      </c>
      <c r="R3169" t="str">
        <f t="shared" si="373"/>
        <v>plays</v>
      </c>
      <c r="S3169" s="9">
        <f t="shared" si="376"/>
        <v>41838.967372685183</v>
      </c>
      <c r="T3169" s="9">
        <f t="shared" si="377"/>
        <v>41852.967372685183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74"/>
        <v>1.242</v>
      </c>
      <c r="P3170">
        <f t="shared" si="375"/>
        <v>2802.5</v>
      </c>
      <c r="Q3170" t="str">
        <f t="shared" si="372"/>
        <v>theater</v>
      </c>
      <c r="R3170" t="str">
        <f t="shared" si="373"/>
        <v>plays</v>
      </c>
      <c r="S3170" s="9">
        <f t="shared" si="376"/>
        <v>41771.897604166668</v>
      </c>
      <c r="T3170" s="9">
        <f t="shared" si="377"/>
        <v>41803.708333333328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74"/>
        <v>1.030125</v>
      </c>
      <c r="P3171">
        <f t="shared" si="375"/>
        <v>8120.5</v>
      </c>
      <c r="Q3171" t="str">
        <f t="shared" si="372"/>
        <v>theater</v>
      </c>
      <c r="R3171" t="str">
        <f t="shared" si="373"/>
        <v>plays</v>
      </c>
      <c r="S3171" s="9">
        <f t="shared" si="376"/>
        <v>41591.529641203699</v>
      </c>
      <c r="T3171" s="9">
        <f t="shared" si="377"/>
        <v>41620.999305555553</v>
      </c>
    </row>
    <row r="3172" spans="1:20" ht="29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74"/>
        <v>1.1225000000000001</v>
      </c>
      <c r="P3172">
        <f t="shared" si="375"/>
        <v>2122.5</v>
      </c>
      <c r="Q3172" t="str">
        <f t="shared" si="372"/>
        <v>theater</v>
      </c>
      <c r="R3172" t="str">
        <f t="shared" si="373"/>
        <v>plays</v>
      </c>
      <c r="S3172" s="9">
        <f t="shared" si="376"/>
        <v>41788.872037037036</v>
      </c>
      <c r="T3172" s="9">
        <f t="shared" si="377"/>
        <v>41821.958333333328</v>
      </c>
    </row>
    <row r="3173" spans="1:20" ht="43.5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74"/>
        <v>1.0881428571428571</v>
      </c>
      <c r="P3173">
        <f t="shared" si="375"/>
        <v>7308.5</v>
      </c>
      <c r="Q3173" t="str">
        <f t="shared" si="372"/>
        <v>theater</v>
      </c>
      <c r="R3173" t="str">
        <f t="shared" si="373"/>
        <v>plays</v>
      </c>
      <c r="S3173" s="9">
        <f t="shared" si="376"/>
        <v>42466.399976851848</v>
      </c>
      <c r="T3173" s="9">
        <f t="shared" si="377"/>
        <v>42496.399976851848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74"/>
        <v>1.1499999999999999</v>
      </c>
      <c r="P3174">
        <f t="shared" si="375"/>
        <v>2150</v>
      </c>
      <c r="Q3174" t="str">
        <f t="shared" si="372"/>
        <v>theater</v>
      </c>
      <c r="R3174" t="str">
        <f t="shared" si="373"/>
        <v>plays</v>
      </c>
      <c r="S3174" s="9">
        <f t="shared" si="376"/>
        <v>40923.521620370368</v>
      </c>
      <c r="T3174" s="9">
        <f t="shared" si="377"/>
        <v>40953.521620370368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74"/>
        <v>1.03</v>
      </c>
      <c r="P3175">
        <f t="shared" si="375"/>
        <v>10150</v>
      </c>
      <c r="Q3175" t="str">
        <f t="shared" si="372"/>
        <v>theater</v>
      </c>
      <c r="R3175" t="str">
        <f t="shared" si="373"/>
        <v>plays</v>
      </c>
      <c r="S3175" s="9">
        <f t="shared" si="376"/>
        <v>41878.670046296298</v>
      </c>
      <c r="T3175" s="9">
        <f t="shared" si="377"/>
        <v>41908.670046296298</v>
      </c>
    </row>
    <row r="3176" spans="1:20" ht="43.5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74"/>
        <v>1.0113333333333334</v>
      </c>
      <c r="P3176">
        <f t="shared" si="375"/>
        <v>3017</v>
      </c>
      <c r="Q3176" t="str">
        <f t="shared" si="372"/>
        <v>theater</v>
      </c>
      <c r="R3176" t="str">
        <f t="shared" si="373"/>
        <v>plays</v>
      </c>
      <c r="S3176" s="9">
        <f t="shared" si="376"/>
        <v>41862.656342592592</v>
      </c>
      <c r="T3176" s="9">
        <f t="shared" si="377"/>
        <v>41876.656342592592</v>
      </c>
    </row>
    <row r="3177" spans="1:20" ht="43.5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74"/>
        <v>1.0955999999999999</v>
      </c>
      <c r="P3177">
        <f t="shared" si="375"/>
        <v>5239</v>
      </c>
      <c r="Q3177" t="str">
        <f t="shared" si="372"/>
        <v>theater</v>
      </c>
      <c r="R3177" t="str">
        <f t="shared" si="373"/>
        <v>plays</v>
      </c>
      <c r="S3177" s="9">
        <f t="shared" si="376"/>
        <v>40531.678553240738</v>
      </c>
      <c r="T3177" s="9">
        <f t="shared" si="377"/>
        <v>40591.678553240738</v>
      </c>
    </row>
    <row r="3178" spans="1:20" ht="43.5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74"/>
        <v>1.148421052631579</v>
      </c>
      <c r="P3178">
        <f t="shared" si="375"/>
        <v>2041</v>
      </c>
      <c r="Q3178" t="str">
        <f t="shared" si="372"/>
        <v>theater</v>
      </c>
      <c r="R3178" t="str">
        <f t="shared" si="373"/>
        <v>plays</v>
      </c>
      <c r="S3178" s="9">
        <f t="shared" si="376"/>
        <v>41477.722581018512</v>
      </c>
      <c r="T3178" s="9">
        <f t="shared" si="377"/>
        <v>41504.416666666664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74"/>
        <v>1.1739999999999999</v>
      </c>
      <c r="P3179">
        <f t="shared" si="375"/>
        <v>2717.5</v>
      </c>
      <c r="Q3179" t="str">
        <f t="shared" si="372"/>
        <v>theater</v>
      </c>
      <c r="R3179" t="str">
        <f t="shared" si="373"/>
        <v>plays</v>
      </c>
      <c r="S3179" s="9">
        <f t="shared" si="376"/>
        <v>41781.458437499998</v>
      </c>
      <c r="T3179" s="9">
        <f t="shared" si="377"/>
        <v>41811.458437499998</v>
      </c>
    </row>
    <row r="3180" spans="1:20" ht="43.5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74"/>
        <v>1.7173333333333334</v>
      </c>
      <c r="P3180">
        <f t="shared" si="375"/>
        <v>2038</v>
      </c>
      <c r="Q3180" t="str">
        <f t="shared" si="372"/>
        <v>theater</v>
      </c>
      <c r="R3180" t="str">
        <f t="shared" si="373"/>
        <v>plays</v>
      </c>
      <c r="S3180" s="9">
        <f t="shared" si="376"/>
        <v>41806.396701388883</v>
      </c>
      <c r="T3180" s="9">
        <f t="shared" si="377"/>
        <v>41836.396701388883</v>
      </c>
    </row>
    <row r="3181" spans="1:20" ht="29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74"/>
        <v>1.1416238095238094</v>
      </c>
      <c r="P3181">
        <f t="shared" si="375"/>
        <v>4497.41</v>
      </c>
      <c r="Q3181" t="str">
        <f t="shared" si="372"/>
        <v>theater</v>
      </c>
      <c r="R3181" t="str">
        <f t="shared" si="373"/>
        <v>plays</v>
      </c>
      <c r="S3181" s="9">
        <f t="shared" si="376"/>
        <v>41375.49387731481</v>
      </c>
      <c r="T3181" s="9">
        <f t="shared" si="377"/>
        <v>41400.49387731481</v>
      </c>
    </row>
    <row r="3182" spans="1:20" ht="29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74"/>
        <v>1.1975</v>
      </c>
      <c r="P3182">
        <f t="shared" si="375"/>
        <v>1318.5</v>
      </c>
      <c r="Q3182" t="str">
        <f t="shared" si="372"/>
        <v>theater</v>
      </c>
      <c r="R3182" t="str">
        <f t="shared" si="373"/>
        <v>plays</v>
      </c>
      <c r="S3182" s="9">
        <f t="shared" si="376"/>
        <v>41780.204270833332</v>
      </c>
      <c r="T3182" s="9">
        <f t="shared" si="377"/>
        <v>41810.204270833332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74"/>
        <v>1.0900000000000001</v>
      </c>
      <c r="P3183">
        <f t="shared" si="375"/>
        <v>522.5</v>
      </c>
      <c r="Q3183" t="str">
        <f t="shared" si="372"/>
        <v>theater</v>
      </c>
      <c r="R3183" t="str">
        <f t="shared" si="373"/>
        <v>plays</v>
      </c>
      <c r="S3183" s="9">
        <f t="shared" si="376"/>
        <v>41779.101701388885</v>
      </c>
      <c r="T3183" s="9">
        <f t="shared" si="377"/>
        <v>41805.458333333328</v>
      </c>
    </row>
    <row r="3184" spans="1:20" ht="43.5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74"/>
        <v>1.0088571428571429</v>
      </c>
      <c r="P3184">
        <f t="shared" si="375"/>
        <v>7031</v>
      </c>
      <c r="Q3184" t="str">
        <f t="shared" si="372"/>
        <v>theater</v>
      </c>
      <c r="R3184" t="str">
        <f t="shared" si="373"/>
        <v>plays</v>
      </c>
      <c r="S3184" s="9">
        <f t="shared" si="376"/>
        <v>40883.740983796291</v>
      </c>
      <c r="T3184" s="9">
        <f t="shared" si="377"/>
        <v>40939.5</v>
      </c>
    </row>
    <row r="3185" spans="1:20" ht="29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74"/>
        <v>1.0900000000000001</v>
      </c>
      <c r="P3185">
        <f t="shared" si="375"/>
        <v>2612.5</v>
      </c>
      <c r="Q3185" t="str">
        <f t="shared" si="372"/>
        <v>theater</v>
      </c>
      <c r="R3185" t="str">
        <f t="shared" si="373"/>
        <v>plays</v>
      </c>
      <c r="S3185" s="9">
        <f t="shared" si="376"/>
        <v>41491.586446759255</v>
      </c>
      <c r="T3185" s="9">
        <f t="shared" si="377"/>
        <v>41509.586446759255</v>
      </c>
    </row>
    <row r="3186" spans="1:20" ht="29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74"/>
        <v>1.0720930232558139</v>
      </c>
      <c r="P3186">
        <f t="shared" si="375"/>
        <v>4455</v>
      </c>
      <c r="Q3186" t="str">
        <f t="shared" si="372"/>
        <v>theater</v>
      </c>
      <c r="R3186" t="str">
        <f t="shared" si="373"/>
        <v>plays</v>
      </c>
      <c r="S3186" s="9">
        <f t="shared" si="376"/>
        <v>41791.785081018512</v>
      </c>
      <c r="T3186" s="9">
        <f t="shared" si="377"/>
        <v>41821.785081018512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74"/>
        <v>1</v>
      </c>
      <c r="P3187">
        <f t="shared" si="375"/>
        <v>1000</v>
      </c>
      <c r="Q3187" t="str">
        <f t="shared" si="372"/>
        <v>theater</v>
      </c>
      <c r="R3187" t="str">
        <f t="shared" si="373"/>
        <v>plays</v>
      </c>
      <c r="S3187" s="9">
        <f t="shared" si="376"/>
        <v>41829.768993055557</v>
      </c>
      <c r="T3187" s="9">
        <f t="shared" si="377"/>
        <v>41836.768993055557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74"/>
        <v>1.0218750000000001</v>
      </c>
      <c r="P3188">
        <f t="shared" si="375"/>
        <v>3235</v>
      </c>
      <c r="Q3188" t="str">
        <f t="shared" si="372"/>
        <v>theater</v>
      </c>
      <c r="R3188" t="str">
        <f t="shared" si="373"/>
        <v>plays</v>
      </c>
      <c r="S3188" s="9">
        <f t="shared" si="376"/>
        <v>41868.715717592589</v>
      </c>
      <c r="T3188" s="9">
        <f t="shared" si="377"/>
        <v>41898.666666666664</v>
      </c>
    </row>
    <row r="3189" spans="1:20" ht="43.5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74"/>
        <v>1.1629333333333334</v>
      </c>
      <c r="P3189">
        <f t="shared" si="375"/>
        <v>16222</v>
      </c>
      <c r="Q3189" t="str">
        <f t="shared" si="372"/>
        <v>theater</v>
      </c>
      <c r="R3189" t="str">
        <f t="shared" si="373"/>
        <v>plays</v>
      </c>
      <c r="S3189" s="9">
        <f t="shared" si="376"/>
        <v>41835.458020833328</v>
      </c>
      <c r="T3189" s="9">
        <f t="shared" si="377"/>
        <v>41855.458020833328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74"/>
        <v>0.65</v>
      </c>
      <c r="P3190">
        <f t="shared" si="375"/>
        <v>165</v>
      </c>
      <c r="Q3190" t="str">
        <f>IF(N3190="theater/musical","theater")</f>
        <v>theater</v>
      </c>
      <c r="R3190" t="str">
        <f>IF(N3190="theater/musical","musical")</f>
        <v>musical</v>
      </c>
      <c r="S3190" s="9">
        <f t="shared" si="376"/>
        <v>42144.207199074073</v>
      </c>
      <c r="T3190" s="9">
        <f t="shared" si="377"/>
        <v>42165.207199074073</v>
      </c>
    </row>
    <row r="3191" spans="1:20" ht="43.5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74"/>
        <v>0.12327272727272727</v>
      </c>
      <c r="P3191">
        <f t="shared" si="375"/>
        <v>30890</v>
      </c>
      <c r="Q3191" t="str">
        <f t="shared" ref="Q3191:Q3209" si="378">IF(N3191="theater/musical","theater")</f>
        <v>theater</v>
      </c>
      <c r="R3191" t="str">
        <f t="shared" ref="R3191:R3209" si="379">IF(N3191="theater/musical","musical")</f>
        <v>musical</v>
      </c>
      <c r="S3191" s="9">
        <f t="shared" si="376"/>
        <v>42118.138101851851</v>
      </c>
      <c r="T3191" s="9">
        <f t="shared" si="377"/>
        <v>42148.138101851851</v>
      </c>
    </row>
    <row r="3192" spans="1:20" ht="29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74"/>
        <v>0</v>
      </c>
      <c r="P3192">
        <f t="shared" si="375"/>
        <v>2000</v>
      </c>
      <c r="Q3192" t="str">
        <f t="shared" si="378"/>
        <v>theater</v>
      </c>
      <c r="R3192" t="str">
        <f t="shared" si="379"/>
        <v>musical</v>
      </c>
      <c r="S3192" s="9">
        <f t="shared" si="376"/>
        <v>42682.942997685182</v>
      </c>
      <c r="T3192" s="9">
        <f t="shared" si="377"/>
        <v>42712.984664351847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74"/>
        <v>4.0266666666666666E-2</v>
      </c>
      <c r="P3193">
        <f t="shared" si="375"/>
        <v>1950.5</v>
      </c>
      <c r="Q3193" t="str">
        <f t="shared" si="378"/>
        <v>theater</v>
      </c>
      <c r="R3193" t="str">
        <f t="shared" si="379"/>
        <v>musical</v>
      </c>
      <c r="S3193" s="9">
        <f t="shared" si="376"/>
        <v>42538.547094907401</v>
      </c>
      <c r="T3193" s="9">
        <f t="shared" si="377"/>
        <v>42598.547094907401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74"/>
        <v>1.0200000000000001E-2</v>
      </c>
      <c r="P3194">
        <f t="shared" si="375"/>
        <v>5051</v>
      </c>
      <c r="Q3194" t="str">
        <f t="shared" si="378"/>
        <v>theater</v>
      </c>
      <c r="R3194" t="str">
        <f t="shared" si="379"/>
        <v>musical</v>
      </c>
      <c r="S3194" s="9">
        <f t="shared" si="376"/>
        <v>42018.732164351844</v>
      </c>
      <c r="T3194" s="9">
        <f t="shared" si="377"/>
        <v>42063.708333333336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74"/>
        <v>0.1174</v>
      </c>
      <c r="P3195">
        <f t="shared" si="375"/>
        <v>2793.5</v>
      </c>
      <c r="Q3195" t="str">
        <f t="shared" si="378"/>
        <v>theater</v>
      </c>
      <c r="R3195" t="str">
        <f t="shared" si="379"/>
        <v>musical</v>
      </c>
      <c r="S3195" s="9">
        <f t="shared" si="376"/>
        <v>42010.759907407402</v>
      </c>
      <c r="T3195" s="9">
        <f t="shared" si="377"/>
        <v>42055.759907407402</v>
      </c>
    </row>
    <row r="3196" spans="1:20" ht="43.5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74"/>
        <v>0</v>
      </c>
      <c r="P3196">
        <f t="shared" si="375"/>
        <v>5500</v>
      </c>
      <c r="Q3196" t="str">
        <f t="shared" si="378"/>
        <v>theater</v>
      </c>
      <c r="R3196" t="str">
        <f t="shared" si="379"/>
        <v>musical</v>
      </c>
      <c r="S3196" s="9">
        <f t="shared" si="376"/>
        <v>42181.854143518511</v>
      </c>
      <c r="T3196" s="9">
        <f t="shared" si="377"/>
        <v>42211.854143518511</v>
      </c>
    </row>
    <row r="3197" spans="1:20" ht="43.5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74"/>
        <v>0.59142857142857141</v>
      </c>
      <c r="P3197">
        <f t="shared" si="375"/>
        <v>2785</v>
      </c>
      <c r="Q3197" t="str">
        <f t="shared" si="378"/>
        <v>theater</v>
      </c>
      <c r="R3197" t="str">
        <f t="shared" si="379"/>
        <v>musical</v>
      </c>
      <c r="S3197" s="9">
        <f t="shared" si="376"/>
        <v>42017.385902777773</v>
      </c>
      <c r="T3197" s="9">
        <f t="shared" si="377"/>
        <v>42047.385902777773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74"/>
        <v>5.9999999999999995E-4</v>
      </c>
      <c r="P3198">
        <f t="shared" si="375"/>
        <v>1500900</v>
      </c>
      <c r="Q3198" t="str">
        <f t="shared" si="378"/>
        <v>theater</v>
      </c>
      <c r="R3198" t="str">
        <f t="shared" si="379"/>
        <v>musical</v>
      </c>
      <c r="S3198" s="9">
        <f t="shared" si="376"/>
        <v>42157.389756944445</v>
      </c>
      <c r="T3198" s="9">
        <f t="shared" si="377"/>
        <v>42217.374999999993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74"/>
        <v>0.1145</v>
      </c>
      <c r="P3199">
        <f t="shared" si="375"/>
        <v>5572.5</v>
      </c>
      <c r="Q3199" t="str">
        <f t="shared" si="378"/>
        <v>theater</v>
      </c>
      <c r="R3199" t="str">
        <f t="shared" si="379"/>
        <v>musical</v>
      </c>
      <c r="S3199" s="9">
        <f t="shared" si="376"/>
        <v>42009.28493055555</v>
      </c>
      <c r="T3199" s="9">
        <f t="shared" si="377"/>
        <v>42039.28493055555</v>
      </c>
    </row>
    <row r="3200" spans="1:20" ht="43.5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74"/>
        <v>3.6666666666666666E-3</v>
      </c>
      <c r="P3200">
        <f t="shared" si="375"/>
        <v>15055</v>
      </c>
      <c r="Q3200" t="str">
        <f t="shared" si="378"/>
        <v>theater</v>
      </c>
      <c r="R3200" t="str">
        <f t="shared" si="379"/>
        <v>musical</v>
      </c>
      <c r="S3200" s="9">
        <f t="shared" si="376"/>
        <v>42013.216168981475</v>
      </c>
      <c r="T3200" s="9">
        <f t="shared" si="377"/>
        <v>42051.216168981475</v>
      </c>
    </row>
    <row r="3201" spans="1:20" ht="29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74"/>
        <v>0.52159999999999995</v>
      </c>
      <c r="P3201">
        <f t="shared" si="375"/>
        <v>3804</v>
      </c>
      <c r="Q3201" t="str">
        <f t="shared" si="378"/>
        <v>theater</v>
      </c>
      <c r="R3201" t="str">
        <f t="shared" si="379"/>
        <v>musical</v>
      </c>
      <c r="S3201" s="9">
        <f t="shared" si="376"/>
        <v>41858.553449074076</v>
      </c>
      <c r="T3201" s="9">
        <f t="shared" si="377"/>
        <v>41888.666666666664</v>
      </c>
    </row>
    <row r="3202" spans="1:20" ht="43.5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74"/>
        <v>2.0000000000000002E-5</v>
      </c>
      <c r="P3202">
        <f t="shared" si="375"/>
        <v>25000.5</v>
      </c>
      <c r="Q3202" t="str">
        <f t="shared" si="378"/>
        <v>theater</v>
      </c>
      <c r="R3202" t="str">
        <f t="shared" si="379"/>
        <v>musical</v>
      </c>
      <c r="S3202" s="9">
        <f t="shared" si="376"/>
        <v>42460.112280092588</v>
      </c>
      <c r="T3202" s="9">
        <f t="shared" si="377"/>
        <v>42490.023611111108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80">E3203/D3203</f>
        <v>1.2500000000000001E-2</v>
      </c>
      <c r="P3203">
        <f t="shared" ref="P3203:P3266" si="381">AVERAGE(D3203:E3203)</f>
        <v>1012.5</v>
      </c>
      <c r="Q3203" t="str">
        <f t="shared" si="378"/>
        <v>theater</v>
      </c>
      <c r="R3203" t="str">
        <f t="shared" si="379"/>
        <v>musical</v>
      </c>
      <c r="S3203" s="9">
        <f t="shared" ref="S3203:S3266" si="382">J3203/86400+25569+(-5/24)</f>
        <v>41861.558761574073</v>
      </c>
      <c r="T3203" s="9">
        <f t="shared" si="377"/>
        <v>41882.558761574073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80"/>
        <v>0.54520000000000002</v>
      </c>
      <c r="P3204">
        <f t="shared" si="381"/>
        <v>3863</v>
      </c>
      <c r="Q3204" t="str">
        <f t="shared" si="378"/>
        <v>theater</v>
      </c>
      <c r="R3204" t="str">
        <f t="shared" si="379"/>
        <v>musical</v>
      </c>
      <c r="S3204" s="9">
        <f t="shared" si="382"/>
        <v>42293.645208333335</v>
      </c>
      <c r="T3204" s="9">
        <f t="shared" ref="T3204:T3267" si="383">I3204/86400+25569+(-5/24)</f>
        <v>42352.040972222218</v>
      </c>
    </row>
    <row r="3205" spans="1:20" ht="29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80"/>
        <v>0.25</v>
      </c>
      <c r="P3205">
        <f t="shared" si="381"/>
        <v>625</v>
      </c>
      <c r="Q3205" t="str">
        <f t="shared" si="378"/>
        <v>theater</v>
      </c>
      <c r="R3205" t="str">
        <f t="shared" si="379"/>
        <v>musical</v>
      </c>
      <c r="S3205" s="9">
        <f t="shared" si="382"/>
        <v>42242.780347222222</v>
      </c>
      <c r="T3205" s="9">
        <f t="shared" si="383"/>
        <v>42272.780347222222</v>
      </c>
    </row>
    <row r="3206" spans="1:20" ht="43.5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80"/>
        <v>0</v>
      </c>
      <c r="P3206">
        <f t="shared" si="381"/>
        <v>250</v>
      </c>
      <c r="Q3206" t="str">
        <f t="shared" si="378"/>
        <v>theater</v>
      </c>
      <c r="R3206" t="str">
        <f t="shared" si="379"/>
        <v>musical</v>
      </c>
      <c r="S3206" s="9">
        <f t="shared" si="382"/>
        <v>42172.477766203701</v>
      </c>
      <c r="T3206" s="9">
        <f t="shared" si="383"/>
        <v>42202.468055555553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80"/>
        <v>3.4125000000000003E-2</v>
      </c>
      <c r="P3207">
        <f t="shared" si="381"/>
        <v>4136.5</v>
      </c>
      <c r="Q3207" t="str">
        <f t="shared" si="378"/>
        <v>theater</v>
      </c>
      <c r="R3207" t="str">
        <f t="shared" si="379"/>
        <v>musical</v>
      </c>
      <c r="S3207" s="9">
        <f t="shared" si="382"/>
        <v>42095.166342592587</v>
      </c>
      <c r="T3207" s="9">
        <f t="shared" si="383"/>
        <v>42125.166342592587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80"/>
        <v>0</v>
      </c>
      <c r="P3208">
        <f t="shared" si="381"/>
        <v>2500</v>
      </c>
      <c r="Q3208" t="str">
        <f t="shared" si="378"/>
        <v>theater</v>
      </c>
      <c r="R3208" t="str">
        <f t="shared" si="379"/>
        <v>musical</v>
      </c>
      <c r="S3208" s="9">
        <f t="shared" si="382"/>
        <v>42236.067719907405</v>
      </c>
      <c r="T3208" s="9">
        <f t="shared" si="383"/>
        <v>42266.067719907405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80"/>
        <v>0.46363636363636362</v>
      </c>
      <c r="P3209">
        <f t="shared" si="381"/>
        <v>4025</v>
      </c>
      <c r="Q3209" t="str">
        <f t="shared" si="378"/>
        <v>theater</v>
      </c>
      <c r="R3209" t="str">
        <f t="shared" si="379"/>
        <v>musical</v>
      </c>
      <c r="S3209" s="9">
        <f t="shared" si="382"/>
        <v>42057.069525462961</v>
      </c>
      <c r="T3209" s="9">
        <f t="shared" si="383"/>
        <v>42117.027858796289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80"/>
        <v>1.0349999999999999</v>
      </c>
      <c r="P3210">
        <f t="shared" si="381"/>
        <v>5087.5</v>
      </c>
      <c r="Q3210" t="str">
        <f>IF(N3210="theater/plays","theater")</f>
        <v>theater</v>
      </c>
      <c r="R3210" t="str">
        <f>IF(N3210="theater/plays","plays")</f>
        <v>plays</v>
      </c>
      <c r="S3210" s="9">
        <f t="shared" si="382"/>
        <v>41827.396724537037</v>
      </c>
      <c r="T3210" s="9">
        <f t="shared" si="383"/>
        <v>41848.396724537037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80"/>
        <v>1.1932315789473684</v>
      </c>
      <c r="P3211">
        <f t="shared" si="381"/>
        <v>10417.85</v>
      </c>
      <c r="Q3211" t="str">
        <f t="shared" ref="Q3211:Q3274" si="384">IF(N3211="theater/plays","theater")</f>
        <v>theater</v>
      </c>
      <c r="R3211" t="str">
        <f t="shared" ref="R3211:R3274" si="385">IF(N3211="theater/plays","plays")</f>
        <v>plays</v>
      </c>
      <c r="S3211" s="9">
        <f t="shared" si="382"/>
        <v>41778.42891203703</v>
      </c>
      <c r="T3211" s="9">
        <f t="shared" si="383"/>
        <v>41810.75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80"/>
        <v>1.2576666666666667</v>
      </c>
      <c r="P3212">
        <f t="shared" si="381"/>
        <v>3386.5</v>
      </c>
      <c r="Q3212" t="str">
        <f t="shared" si="384"/>
        <v>theater</v>
      </c>
      <c r="R3212" t="str">
        <f t="shared" si="385"/>
        <v>plays</v>
      </c>
      <c r="S3212" s="9">
        <f t="shared" si="382"/>
        <v>41013.728229166663</v>
      </c>
      <c r="T3212" s="9">
        <f t="shared" si="383"/>
        <v>41060.957638888889</v>
      </c>
    </row>
    <row r="3213" spans="1:20" ht="43.5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80"/>
        <v>1.1974347826086957</v>
      </c>
      <c r="P3213">
        <f t="shared" si="381"/>
        <v>25270.5</v>
      </c>
      <c r="Q3213" t="str">
        <f t="shared" si="384"/>
        <v>theater</v>
      </c>
      <c r="R3213" t="str">
        <f t="shared" si="385"/>
        <v>plays</v>
      </c>
      <c r="S3213" s="9">
        <f t="shared" si="382"/>
        <v>41834.378240740734</v>
      </c>
      <c r="T3213" s="9">
        <f t="shared" si="383"/>
        <v>41865.875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80"/>
        <v>1.2625</v>
      </c>
      <c r="P3214">
        <f t="shared" si="381"/>
        <v>4525</v>
      </c>
      <c r="Q3214" t="str">
        <f t="shared" si="384"/>
        <v>theater</v>
      </c>
      <c r="R3214" t="str">
        <f t="shared" si="385"/>
        <v>plays</v>
      </c>
      <c r="S3214" s="9">
        <f t="shared" si="382"/>
        <v>41829.587395833332</v>
      </c>
      <c r="T3214" s="9">
        <f t="shared" si="383"/>
        <v>41859.587395833332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80"/>
        <v>1.0011666666666668</v>
      </c>
      <c r="P3215">
        <f t="shared" si="381"/>
        <v>6003.5</v>
      </c>
      <c r="Q3215" t="str">
        <f t="shared" si="384"/>
        <v>theater</v>
      </c>
      <c r="R3215" t="str">
        <f t="shared" si="385"/>
        <v>plays</v>
      </c>
      <c r="S3215" s="9">
        <f t="shared" si="382"/>
        <v>42171.555081018516</v>
      </c>
      <c r="T3215" s="9">
        <f t="shared" si="383"/>
        <v>42211.555081018516</v>
      </c>
    </row>
    <row r="3216" spans="1:20" ht="43.5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80"/>
        <v>1.0213333333333334</v>
      </c>
      <c r="P3216">
        <f t="shared" si="381"/>
        <v>12128</v>
      </c>
      <c r="Q3216" t="str">
        <f t="shared" si="384"/>
        <v>theater</v>
      </c>
      <c r="R3216" t="str">
        <f t="shared" si="385"/>
        <v>plays</v>
      </c>
      <c r="S3216" s="9">
        <f t="shared" si="382"/>
        <v>42337.584178240737</v>
      </c>
      <c r="T3216" s="9">
        <f t="shared" si="383"/>
        <v>42374.788194444445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80"/>
        <v>1.0035142857142858</v>
      </c>
      <c r="P3217">
        <f t="shared" si="381"/>
        <v>35061.5</v>
      </c>
      <c r="Q3217" t="str">
        <f t="shared" si="384"/>
        <v>theater</v>
      </c>
      <c r="R3217" t="str">
        <f t="shared" si="385"/>
        <v>plays</v>
      </c>
      <c r="S3217" s="9">
        <f t="shared" si="382"/>
        <v>42219.456840277773</v>
      </c>
      <c r="T3217" s="9">
        <f t="shared" si="383"/>
        <v>42256.957638888889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80"/>
        <v>1.0004999999999999</v>
      </c>
      <c r="P3218">
        <f t="shared" si="381"/>
        <v>2000.5</v>
      </c>
      <c r="Q3218" t="str">
        <f t="shared" si="384"/>
        <v>theater</v>
      </c>
      <c r="R3218" t="str">
        <f t="shared" si="385"/>
        <v>plays</v>
      </c>
      <c r="S3218" s="9">
        <f t="shared" si="382"/>
        <v>42165.254293981481</v>
      </c>
      <c r="T3218" s="9">
        <f t="shared" si="383"/>
        <v>42196.395833333336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80"/>
        <v>1.1602222222222223</v>
      </c>
      <c r="P3219">
        <f t="shared" si="381"/>
        <v>4860.5</v>
      </c>
      <c r="Q3219" t="str">
        <f t="shared" si="384"/>
        <v>theater</v>
      </c>
      <c r="R3219" t="str">
        <f t="shared" si="385"/>
        <v>plays</v>
      </c>
      <c r="S3219" s="9">
        <f t="shared" si="382"/>
        <v>42648.337777777771</v>
      </c>
      <c r="T3219" s="9">
        <f t="shared" si="383"/>
        <v>42678.337777777771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80"/>
        <v>1.0209999999999999</v>
      </c>
      <c r="P3220">
        <f t="shared" si="381"/>
        <v>12126</v>
      </c>
      <c r="Q3220" t="str">
        <f t="shared" si="384"/>
        <v>theater</v>
      </c>
      <c r="R3220" t="str">
        <f t="shared" si="385"/>
        <v>plays</v>
      </c>
      <c r="S3220" s="9">
        <f t="shared" si="382"/>
        <v>41970.793819444443</v>
      </c>
      <c r="T3220" s="9">
        <f t="shared" si="383"/>
        <v>42003.791666666664</v>
      </c>
    </row>
    <row r="3221" spans="1:20" ht="29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80"/>
        <v>1.0011000000000001</v>
      </c>
      <c r="P3221">
        <f t="shared" si="381"/>
        <v>20011</v>
      </c>
      <c r="Q3221" t="str">
        <f t="shared" si="384"/>
        <v>theater</v>
      </c>
      <c r="R3221" t="str">
        <f t="shared" si="385"/>
        <v>plays</v>
      </c>
      <c r="S3221" s="9">
        <f t="shared" si="382"/>
        <v>42050.77484953704</v>
      </c>
      <c r="T3221" s="9">
        <f t="shared" si="383"/>
        <v>42085.733182870368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80"/>
        <v>1.0084</v>
      </c>
      <c r="P3222">
        <f t="shared" si="381"/>
        <v>15063</v>
      </c>
      <c r="Q3222" t="str">
        <f t="shared" si="384"/>
        <v>theater</v>
      </c>
      <c r="R3222" t="str">
        <f t="shared" si="385"/>
        <v>plays</v>
      </c>
      <c r="S3222" s="9">
        <f t="shared" si="382"/>
        <v>42772.625046296293</v>
      </c>
      <c r="T3222" s="9">
        <f t="shared" si="383"/>
        <v>42806.666666666664</v>
      </c>
    </row>
    <row r="3223" spans="1:20" ht="43.5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80"/>
        <v>1.0342499999999999</v>
      </c>
      <c r="P3223">
        <f t="shared" si="381"/>
        <v>4068.5</v>
      </c>
      <c r="Q3223" t="str">
        <f t="shared" si="384"/>
        <v>theater</v>
      </c>
      <c r="R3223" t="str">
        <f t="shared" si="385"/>
        <v>plays</v>
      </c>
      <c r="S3223" s="9">
        <f t="shared" si="382"/>
        <v>42155.488460648143</v>
      </c>
      <c r="T3223" s="9">
        <f t="shared" si="383"/>
        <v>42190.488460648143</v>
      </c>
    </row>
    <row r="3224" spans="1:20" ht="29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80"/>
        <v>1.248</v>
      </c>
      <c r="P3224">
        <f t="shared" si="381"/>
        <v>2810</v>
      </c>
      <c r="Q3224" t="str">
        <f t="shared" si="384"/>
        <v>theater</v>
      </c>
      <c r="R3224" t="str">
        <f t="shared" si="385"/>
        <v>plays</v>
      </c>
      <c r="S3224" s="9">
        <f t="shared" si="382"/>
        <v>42270.373807870368</v>
      </c>
      <c r="T3224" s="9">
        <f t="shared" si="383"/>
        <v>42301.686805555553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80"/>
        <v>1.0951612903225807</v>
      </c>
      <c r="P3225">
        <f t="shared" si="381"/>
        <v>3247.5</v>
      </c>
      <c r="Q3225" t="str">
        <f t="shared" si="384"/>
        <v>theater</v>
      </c>
      <c r="R3225" t="str">
        <f t="shared" si="385"/>
        <v>plays</v>
      </c>
      <c r="S3225" s="9">
        <f t="shared" si="382"/>
        <v>42206.627037037033</v>
      </c>
      <c r="T3225" s="9">
        <f t="shared" si="383"/>
        <v>42236.627037037033</v>
      </c>
    </row>
    <row r="3226" spans="1:20" ht="43.5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80"/>
        <v>1.0203333333333333</v>
      </c>
      <c r="P3226">
        <f t="shared" si="381"/>
        <v>30305</v>
      </c>
      <c r="Q3226" t="str">
        <f t="shared" si="384"/>
        <v>theater</v>
      </c>
      <c r="R3226" t="str">
        <f t="shared" si="385"/>
        <v>plays</v>
      </c>
      <c r="S3226" s="9">
        <f t="shared" si="382"/>
        <v>42697.642511574071</v>
      </c>
      <c r="T3226" s="9">
        <f t="shared" si="383"/>
        <v>42744.999999999993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80"/>
        <v>1.0235000000000001</v>
      </c>
      <c r="P3227">
        <f t="shared" si="381"/>
        <v>2023.5</v>
      </c>
      <c r="Q3227" t="str">
        <f t="shared" si="384"/>
        <v>theater</v>
      </c>
      <c r="R3227" t="str">
        <f t="shared" si="385"/>
        <v>plays</v>
      </c>
      <c r="S3227" s="9">
        <f t="shared" si="382"/>
        <v>42503.351134259261</v>
      </c>
      <c r="T3227" s="9">
        <f t="shared" si="383"/>
        <v>42524.666666666664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80"/>
        <v>1.0416666666666667</v>
      </c>
      <c r="P3228">
        <f t="shared" si="381"/>
        <v>1225</v>
      </c>
      <c r="Q3228" t="str">
        <f t="shared" si="384"/>
        <v>theater</v>
      </c>
      <c r="R3228" t="str">
        <f t="shared" si="385"/>
        <v>plays</v>
      </c>
      <c r="S3228" s="9">
        <f t="shared" si="382"/>
        <v>42277.375138888885</v>
      </c>
      <c r="T3228" s="9">
        <f t="shared" si="383"/>
        <v>42307.375138888885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80"/>
        <v>1.25</v>
      </c>
      <c r="P3229">
        <f t="shared" si="381"/>
        <v>1350</v>
      </c>
      <c r="Q3229" t="str">
        <f t="shared" si="384"/>
        <v>theater</v>
      </c>
      <c r="R3229" t="str">
        <f t="shared" si="385"/>
        <v>plays</v>
      </c>
      <c r="S3229" s="9">
        <f t="shared" si="382"/>
        <v>42722.674027777779</v>
      </c>
      <c r="T3229" s="9">
        <f t="shared" si="383"/>
        <v>42752.674027777779</v>
      </c>
    </row>
    <row r="3230" spans="1:20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80"/>
        <v>1.0234285714285714</v>
      </c>
      <c r="P3230">
        <f t="shared" si="381"/>
        <v>7082</v>
      </c>
      <c r="Q3230" t="str">
        <f t="shared" si="384"/>
        <v>theater</v>
      </c>
      <c r="R3230" t="str">
        <f t="shared" si="385"/>
        <v>plays</v>
      </c>
      <c r="S3230" s="9">
        <f t="shared" si="382"/>
        <v>42323.500972222224</v>
      </c>
      <c r="T3230" s="9">
        <f t="shared" si="383"/>
        <v>42354.999305555553</v>
      </c>
    </row>
    <row r="3231" spans="1:20" ht="29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80"/>
        <v>1.0786500000000001</v>
      </c>
      <c r="P3231">
        <f t="shared" si="381"/>
        <v>20786.5</v>
      </c>
      <c r="Q3231" t="str">
        <f t="shared" si="384"/>
        <v>theater</v>
      </c>
      <c r="R3231" t="str">
        <f t="shared" si="385"/>
        <v>plays</v>
      </c>
      <c r="S3231" s="9">
        <f t="shared" si="382"/>
        <v>41933.083310185182</v>
      </c>
      <c r="T3231" s="9">
        <f t="shared" si="383"/>
        <v>41963.124976851854</v>
      </c>
    </row>
    <row r="3232" spans="1:20" ht="43.5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80"/>
        <v>1.0988461538461538</v>
      </c>
      <c r="P3232">
        <f t="shared" si="381"/>
        <v>2728.5</v>
      </c>
      <c r="Q3232" t="str">
        <f t="shared" si="384"/>
        <v>theater</v>
      </c>
      <c r="R3232" t="str">
        <f t="shared" si="385"/>
        <v>plays</v>
      </c>
      <c r="S3232" s="9">
        <f t="shared" si="382"/>
        <v>41897.959791666661</v>
      </c>
      <c r="T3232" s="9">
        <f t="shared" si="383"/>
        <v>41912.957638888889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80"/>
        <v>1.61</v>
      </c>
      <c r="P3233">
        <f t="shared" si="381"/>
        <v>1305</v>
      </c>
      <c r="Q3233" t="str">
        <f t="shared" si="384"/>
        <v>theater</v>
      </c>
      <c r="R3233" t="str">
        <f t="shared" si="385"/>
        <v>plays</v>
      </c>
      <c r="S3233" s="9">
        <f t="shared" si="382"/>
        <v>42446.735497685186</v>
      </c>
      <c r="T3233" s="9">
        <f t="shared" si="383"/>
        <v>42476.735497685186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80"/>
        <v>1.3120000000000001</v>
      </c>
      <c r="P3234">
        <f t="shared" si="381"/>
        <v>1156</v>
      </c>
      <c r="Q3234" t="str">
        <f t="shared" si="384"/>
        <v>theater</v>
      </c>
      <c r="R3234" t="str">
        <f t="shared" si="385"/>
        <v>plays</v>
      </c>
      <c r="S3234" s="9">
        <f t="shared" si="382"/>
        <v>42463.605520833335</v>
      </c>
      <c r="T3234" s="9">
        <f t="shared" si="383"/>
        <v>42493.957638888889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80"/>
        <v>1.1879999999999999</v>
      </c>
      <c r="P3235">
        <f t="shared" si="381"/>
        <v>5470</v>
      </c>
      <c r="Q3235" t="str">
        <f t="shared" si="384"/>
        <v>theater</v>
      </c>
      <c r="R3235" t="str">
        <f t="shared" si="385"/>
        <v>plays</v>
      </c>
      <c r="S3235" s="9">
        <f t="shared" si="382"/>
        <v>42766.596701388888</v>
      </c>
      <c r="T3235" s="9">
        <f t="shared" si="383"/>
        <v>42796.596701388888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80"/>
        <v>1.0039275000000001</v>
      </c>
      <c r="P3236">
        <f t="shared" si="381"/>
        <v>4007.855</v>
      </c>
      <c r="Q3236" t="str">
        <f t="shared" si="384"/>
        <v>theater</v>
      </c>
      <c r="R3236" t="str">
        <f t="shared" si="385"/>
        <v>plays</v>
      </c>
      <c r="S3236" s="9">
        <f t="shared" si="382"/>
        <v>42734.581111111103</v>
      </c>
      <c r="T3236" s="9">
        <f t="shared" si="383"/>
        <v>42767.771527777775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80"/>
        <v>1.0320666666666667</v>
      </c>
      <c r="P3237">
        <f t="shared" si="381"/>
        <v>15240.5</v>
      </c>
      <c r="Q3237" t="str">
        <f t="shared" si="384"/>
        <v>theater</v>
      </c>
      <c r="R3237" t="str">
        <f t="shared" si="385"/>
        <v>plays</v>
      </c>
      <c r="S3237" s="9">
        <f t="shared" si="382"/>
        <v>42522.139479166661</v>
      </c>
      <c r="T3237" s="9">
        <f t="shared" si="383"/>
        <v>42552.139479166661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80"/>
        <v>1.006</v>
      </c>
      <c r="P3238">
        <f t="shared" si="381"/>
        <v>20060</v>
      </c>
      <c r="Q3238" t="str">
        <f t="shared" si="384"/>
        <v>theater</v>
      </c>
      <c r="R3238" t="str">
        <f t="shared" si="385"/>
        <v>plays</v>
      </c>
      <c r="S3238" s="9">
        <f t="shared" si="382"/>
        <v>42702.708715277775</v>
      </c>
      <c r="T3238" s="9">
        <f t="shared" si="383"/>
        <v>42732.708715277775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80"/>
        <v>1.0078754285714286</v>
      </c>
      <c r="P3239">
        <f t="shared" si="381"/>
        <v>35137.82</v>
      </c>
      <c r="Q3239" t="str">
        <f t="shared" si="384"/>
        <v>theater</v>
      </c>
      <c r="R3239" t="str">
        <f t="shared" si="385"/>
        <v>plays</v>
      </c>
      <c r="S3239" s="9">
        <f t="shared" si="382"/>
        <v>42252.266018518516</v>
      </c>
      <c r="T3239" s="9">
        <f t="shared" si="383"/>
        <v>42275.957638888889</v>
      </c>
    </row>
    <row r="3240" spans="1:20" ht="43.5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80"/>
        <v>1.1232142857142857</v>
      </c>
      <c r="P3240">
        <f t="shared" si="381"/>
        <v>2972.5</v>
      </c>
      <c r="Q3240" t="str">
        <f t="shared" si="384"/>
        <v>theater</v>
      </c>
      <c r="R3240" t="str">
        <f t="shared" si="385"/>
        <v>plays</v>
      </c>
      <c r="S3240" s="9">
        <f t="shared" si="382"/>
        <v>42156.302060185182</v>
      </c>
      <c r="T3240" s="9">
        <f t="shared" si="383"/>
        <v>42186.302060185182</v>
      </c>
    </row>
    <row r="3241" spans="1:20" ht="43.5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80"/>
        <v>1.0591914022517912</v>
      </c>
      <c r="P3241">
        <f t="shared" si="381"/>
        <v>6035.49</v>
      </c>
      <c r="Q3241" t="str">
        <f t="shared" si="384"/>
        <v>theater</v>
      </c>
      <c r="R3241" t="str">
        <f t="shared" si="385"/>
        <v>plays</v>
      </c>
      <c r="S3241" s="9">
        <f t="shared" si="382"/>
        <v>42277.880706018514</v>
      </c>
      <c r="T3241" s="9">
        <f t="shared" si="383"/>
        <v>42302.790972222218</v>
      </c>
    </row>
    <row r="3242" spans="1:20" ht="43.5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80"/>
        <v>1.0056666666666667</v>
      </c>
      <c r="P3242">
        <f t="shared" si="381"/>
        <v>3008.5</v>
      </c>
      <c r="Q3242" t="str">
        <f t="shared" si="384"/>
        <v>theater</v>
      </c>
      <c r="R3242" t="str">
        <f t="shared" si="385"/>
        <v>plays</v>
      </c>
      <c r="S3242" s="9">
        <f t="shared" si="382"/>
        <v>42754.485509259255</v>
      </c>
      <c r="T3242" s="9">
        <f t="shared" si="383"/>
        <v>42782.749999999993</v>
      </c>
    </row>
    <row r="3243" spans="1:20" ht="43.5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80"/>
        <v>1.1530588235294117</v>
      </c>
      <c r="P3243">
        <f t="shared" si="381"/>
        <v>9150.5</v>
      </c>
      <c r="Q3243" t="str">
        <f t="shared" si="384"/>
        <v>theater</v>
      </c>
      <c r="R3243" t="str">
        <f t="shared" si="385"/>
        <v>plays</v>
      </c>
      <c r="S3243" s="9">
        <f t="shared" si="382"/>
        <v>41893.116550925923</v>
      </c>
      <c r="T3243" s="9">
        <f t="shared" si="383"/>
        <v>41926.082638888889</v>
      </c>
    </row>
    <row r="3244" spans="1:20" ht="29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80"/>
        <v>1.273042</v>
      </c>
      <c r="P3244">
        <f t="shared" si="381"/>
        <v>11365.21</v>
      </c>
      <c r="Q3244" t="str">
        <f t="shared" si="384"/>
        <v>theater</v>
      </c>
      <c r="R3244" t="str">
        <f t="shared" si="385"/>
        <v>plays</v>
      </c>
      <c r="S3244" s="9">
        <f t="shared" si="382"/>
        <v>41871.547361111108</v>
      </c>
      <c r="T3244" s="9">
        <f t="shared" si="383"/>
        <v>41901.547361111108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80"/>
        <v>1.028375</v>
      </c>
      <c r="P3245">
        <f t="shared" si="381"/>
        <v>8113.5</v>
      </c>
      <c r="Q3245" t="str">
        <f t="shared" si="384"/>
        <v>theater</v>
      </c>
      <c r="R3245" t="str">
        <f t="shared" si="385"/>
        <v>plays</v>
      </c>
      <c r="S3245" s="9">
        <f t="shared" si="382"/>
        <v>42261.888449074067</v>
      </c>
      <c r="T3245" s="9">
        <f t="shared" si="383"/>
        <v>42285.791666666664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80"/>
        <v>1.0293749999999999</v>
      </c>
      <c r="P3246">
        <f t="shared" si="381"/>
        <v>1623.5</v>
      </c>
      <c r="Q3246" t="str">
        <f t="shared" si="384"/>
        <v>theater</v>
      </c>
      <c r="R3246" t="str">
        <f t="shared" si="385"/>
        <v>plays</v>
      </c>
      <c r="S3246" s="9">
        <f t="shared" si="382"/>
        <v>42675.485902777778</v>
      </c>
      <c r="T3246" s="9">
        <f t="shared" si="383"/>
        <v>42705.527569444443</v>
      </c>
    </row>
    <row r="3247" spans="1:20" ht="29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80"/>
        <v>1.043047619047619</v>
      </c>
      <c r="P3247">
        <f t="shared" si="381"/>
        <v>21452</v>
      </c>
      <c r="Q3247" t="str">
        <f t="shared" si="384"/>
        <v>theater</v>
      </c>
      <c r="R3247" t="str">
        <f t="shared" si="385"/>
        <v>plays</v>
      </c>
      <c r="S3247" s="9">
        <f t="shared" si="382"/>
        <v>42135.391874999994</v>
      </c>
      <c r="T3247" s="9">
        <f t="shared" si="383"/>
        <v>42166.874999999993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80"/>
        <v>1.1122000000000001</v>
      </c>
      <c r="P3248">
        <f t="shared" si="381"/>
        <v>10561</v>
      </c>
      <c r="Q3248" t="str">
        <f t="shared" si="384"/>
        <v>theater</v>
      </c>
      <c r="R3248" t="str">
        <f t="shared" si="385"/>
        <v>plays</v>
      </c>
      <c r="S3248" s="9">
        <f t="shared" si="382"/>
        <v>42230.263888888883</v>
      </c>
      <c r="T3248" s="9">
        <f t="shared" si="383"/>
        <v>42258.957638888889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80"/>
        <v>1.0586</v>
      </c>
      <c r="P3249">
        <f t="shared" si="381"/>
        <v>2573.25</v>
      </c>
      <c r="Q3249" t="str">
        <f t="shared" si="384"/>
        <v>theater</v>
      </c>
      <c r="R3249" t="str">
        <f t="shared" si="385"/>
        <v>plays</v>
      </c>
      <c r="S3249" s="9">
        <f t="shared" si="382"/>
        <v>42167.22583333333</v>
      </c>
      <c r="T3249" s="9">
        <f t="shared" si="383"/>
        <v>42197.22583333333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80"/>
        <v>1.0079166666666666</v>
      </c>
      <c r="P3250">
        <f t="shared" si="381"/>
        <v>12047.5</v>
      </c>
      <c r="Q3250" t="str">
        <f t="shared" si="384"/>
        <v>theater</v>
      </c>
      <c r="R3250" t="str">
        <f t="shared" si="385"/>
        <v>plays</v>
      </c>
      <c r="S3250" s="9">
        <f t="shared" si="382"/>
        <v>42068.68005787037</v>
      </c>
      <c r="T3250" s="9">
        <f t="shared" si="383"/>
        <v>42098.638391203705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80"/>
        <v>1.0492727272727274</v>
      </c>
      <c r="P3251">
        <f t="shared" si="381"/>
        <v>5635.5</v>
      </c>
      <c r="Q3251" t="str">
        <f t="shared" si="384"/>
        <v>theater</v>
      </c>
      <c r="R3251" t="str">
        <f t="shared" si="385"/>
        <v>plays</v>
      </c>
      <c r="S3251" s="9">
        <f t="shared" si="382"/>
        <v>42145.538356481477</v>
      </c>
      <c r="T3251" s="9">
        <f t="shared" si="383"/>
        <v>42175.538356481477</v>
      </c>
    </row>
    <row r="3252" spans="1:20" ht="43.5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80"/>
        <v>1.01552</v>
      </c>
      <c r="P3252">
        <f t="shared" si="381"/>
        <v>25194</v>
      </c>
      <c r="Q3252" t="str">
        <f t="shared" si="384"/>
        <v>theater</v>
      </c>
      <c r="R3252" t="str">
        <f t="shared" si="385"/>
        <v>plays</v>
      </c>
      <c r="S3252" s="9">
        <f t="shared" si="382"/>
        <v>41918.533842592587</v>
      </c>
      <c r="T3252" s="9">
        <f t="shared" si="383"/>
        <v>41948.575509259259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80"/>
        <v>1.1073333333333333</v>
      </c>
      <c r="P3253">
        <f t="shared" si="381"/>
        <v>1580.5</v>
      </c>
      <c r="Q3253" t="str">
        <f t="shared" si="384"/>
        <v>theater</v>
      </c>
      <c r="R3253" t="str">
        <f t="shared" si="385"/>
        <v>plays</v>
      </c>
      <c r="S3253" s="9">
        <f t="shared" si="382"/>
        <v>42146.52275462963</v>
      </c>
      <c r="T3253" s="9">
        <f t="shared" si="383"/>
        <v>42176.52275462963</v>
      </c>
    </row>
    <row r="3254" spans="1:20" ht="29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80"/>
        <v>1.2782222222222221</v>
      </c>
      <c r="P3254">
        <f t="shared" si="381"/>
        <v>2563</v>
      </c>
      <c r="Q3254" t="str">
        <f t="shared" si="384"/>
        <v>theater</v>
      </c>
      <c r="R3254" t="str">
        <f t="shared" si="385"/>
        <v>plays</v>
      </c>
      <c r="S3254" s="9">
        <f t="shared" si="382"/>
        <v>42590.264351851853</v>
      </c>
      <c r="T3254" s="9">
        <f t="shared" si="383"/>
        <v>42620.264351851853</v>
      </c>
    </row>
    <row r="3255" spans="1:20" ht="29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80"/>
        <v>1.0182500000000001</v>
      </c>
      <c r="P3255">
        <f t="shared" si="381"/>
        <v>20182.5</v>
      </c>
      <c r="Q3255" t="str">
        <f t="shared" si="384"/>
        <v>theater</v>
      </c>
      <c r="R3255" t="str">
        <f t="shared" si="385"/>
        <v>plays</v>
      </c>
      <c r="S3255" s="9">
        <f t="shared" si="382"/>
        <v>42602.368379629632</v>
      </c>
      <c r="T3255" s="9">
        <f t="shared" si="383"/>
        <v>42620.947916666664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80"/>
        <v>1.012576923076923</v>
      </c>
      <c r="P3256">
        <f t="shared" si="381"/>
        <v>13081.75</v>
      </c>
      <c r="Q3256" t="str">
        <f t="shared" si="384"/>
        <v>theater</v>
      </c>
      <c r="R3256" t="str">
        <f t="shared" si="385"/>
        <v>plays</v>
      </c>
      <c r="S3256" s="9">
        <f t="shared" si="382"/>
        <v>42058.877418981479</v>
      </c>
      <c r="T3256" s="9">
        <f t="shared" si="383"/>
        <v>42088.835752314808</v>
      </c>
    </row>
    <row r="3257" spans="1:20" ht="43.5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80"/>
        <v>1.75</v>
      </c>
      <c r="P3257">
        <f t="shared" si="381"/>
        <v>412.5</v>
      </c>
      <c r="Q3257" t="str">
        <f t="shared" si="384"/>
        <v>theater</v>
      </c>
      <c r="R3257" t="str">
        <f t="shared" si="385"/>
        <v>plays</v>
      </c>
      <c r="S3257" s="9">
        <f t="shared" si="382"/>
        <v>41889.559895833328</v>
      </c>
      <c r="T3257" s="9">
        <f t="shared" si="383"/>
        <v>41919.559895833328</v>
      </c>
    </row>
    <row r="3258" spans="1:20" ht="29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80"/>
        <v>1.2806</v>
      </c>
      <c r="P3258">
        <f t="shared" si="381"/>
        <v>11403</v>
      </c>
      <c r="Q3258" t="str">
        <f t="shared" si="384"/>
        <v>theater</v>
      </c>
      <c r="R3258" t="str">
        <f t="shared" si="385"/>
        <v>plays</v>
      </c>
      <c r="S3258" s="9">
        <f t="shared" si="382"/>
        <v>42144.365474537037</v>
      </c>
      <c r="T3258" s="9">
        <f t="shared" si="383"/>
        <v>42165.957638888889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80"/>
        <v>1.0629949999999999</v>
      </c>
      <c r="P3259">
        <f t="shared" si="381"/>
        <v>2062.9949999999999</v>
      </c>
      <c r="Q3259" t="str">
        <f t="shared" si="384"/>
        <v>theater</v>
      </c>
      <c r="R3259" t="str">
        <f t="shared" si="385"/>
        <v>plays</v>
      </c>
      <c r="S3259" s="9">
        <f t="shared" si="382"/>
        <v>42758.351296296292</v>
      </c>
      <c r="T3259" s="9">
        <f t="shared" si="383"/>
        <v>42788.351296296292</v>
      </c>
    </row>
    <row r="3260" spans="1:20" ht="29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80"/>
        <v>1.052142857142857</v>
      </c>
      <c r="P3260">
        <f t="shared" si="381"/>
        <v>7182.5</v>
      </c>
      <c r="Q3260" t="str">
        <f t="shared" si="384"/>
        <v>theater</v>
      </c>
      <c r="R3260" t="str">
        <f t="shared" si="385"/>
        <v>plays</v>
      </c>
      <c r="S3260" s="9">
        <f t="shared" si="382"/>
        <v>41982.678946759253</v>
      </c>
      <c r="T3260" s="9">
        <f t="shared" si="383"/>
        <v>42012.678946759253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80"/>
        <v>1.0616782608695652</v>
      </c>
      <c r="P3261">
        <f t="shared" si="381"/>
        <v>23709.3</v>
      </c>
      <c r="Q3261" t="str">
        <f t="shared" si="384"/>
        <v>theater</v>
      </c>
      <c r="R3261" t="str">
        <f t="shared" si="385"/>
        <v>plays</v>
      </c>
      <c r="S3261" s="9">
        <f t="shared" si="382"/>
        <v>42614.552604166667</v>
      </c>
      <c r="T3261" s="9">
        <f t="shared" si="383"/>
        <v>42643.957638888889</v>
      </c>
    </row>
    <row r="3262" spans="1:20" ht="29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80"/>
        <v>1.0924</v>
      </c>
      <c r="P3262">
        <f t="shared" si="381"/>
        <v>5231</v>
      </c>
      <c r="Q3262" t="str">
        <f t="shared" si="384"/>
        <v>theater</v>
      </c>
      <c r="R3262" t="str">
        <f t="shared" si="385"/>
        <v>plays</v>
      </c>
      <c r="S3262" s="9">
        <f t="shared" si="382"/>
        <v>42303.464328703696</v>
      </c>
      <c r="T3262" s="9">
        <f t="shared" si="383"/>
        <v>42338.505995370368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80"/>
        <v>1.0045454545454546</v>
      </c>
      <c r="P3263">
        <f t="shared" si="381"/>
        <v>3307.5</v>
      </c>
      <c r="Q3263" t="str">
        <f t="shared" si="384"/>
        <v>theater</v>
      </c>
      <c r="R3263" t="str">
        <f t="shared" si="385"/>
        <v>plays</v>
      </c>
      <c r="S3263" s="9">
        <f t="shared" si="382"/>
        <v>42171.517083333332</v>
      </c>
      <c r="T3263" s="9">
        <f t="shared" si="383"/>
        <v>42201.517083333332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80"/>
        <v>1.0304098360655738</v>
      </c>
      <c r="P3264">
        <f t="shared" si="381"/>
        <v>12385.5</v>
      </c>
      <c r="Q3264" t="str">
        <f t="shared" si="384"/>
        <v>theater</v>
      </c>
      <c r="R3264" t="str">
        <f t="shared" si="385"/>
        <v>plays</v>
      </c>
      <c r="S3264" s="9">
        <f t="shared" si="382"/>
        <v>41964.107199074067</v>
      </c>
      <c r="T3264" s="9">
        <f t="shared" si="383"/>
        <v>41994.958333333336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80"/>
        <v>1.121664</v>
      </c>
      <c r="P3265">
        <f t="shared" si="381"/>
        <v>2652.08</v>
      </c>
      <c r="Q3265" t="str">
        <f t="shared" si="384"/>
        <v>theater</v>
      </c>
      <c r="R3265" t="str">
        <f t="shared" si="385"/>
        <v>plays</v>
      </c>
      <c r="S3265" s="9">
        <f t="shared" si="382"/>
        <v>42284.30773148148</v>
      </c>
      <c r="T3265" s="9">
        <f t="shared" si="383"/>
        <v>42307.666666666664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80"/>
        <v>1.03</v>
      </c>
      <c r="P3266">
        <f t="shared" si="381"/>
        <v>2537.5</v>
      </c>
      <c r="Q3266" t="str">
        <f t="shared" si="384"/>
        <v>theater</v>
      </c>
      <c r="R3266" t="str">
        <f t="shared" si="385"/>
        <v>plays</v>
      </c>
      <c r="S3266" s="9">
        <f t="shared" si="382"/>
        <v>42016.591874999998</v>
      </c>
      <c r="T3266" s="9">
        <f t="shared" si="383"/>
        <v>42032.708333333336</v>
      </c>
    </row>
    <row r="3267" spans="1:20" ht="29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86">E3267/D3267</f>
        <v>1.64</v>
      </c>
      <c r="P3267">
        <f t="shared" ref="P3267:P3330" si="387">AVERAGE(D3267:E3267)</f>
        <v>3564</v>
      </c>
      <c r="Q3267" t="str">
        <f t="shared" si="384"/>
        <v>theater</v>
      </c>
      <c r="R3267" t="str">
        <f t="shared" si="385"/>
        <v>plays</v>
      </c>
      <c r="S3267" s="9">
        <f t="shared" ref="S3267:S3330" si="388">J3267/86400+25569+(-5/24)</f>
        <v>42311.503645833327</v>
      </c>
      <c r="T3267" s="9">
        <f t="shared" si="383"/>
        <v>42341.499999999993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86"/>
        <v>1.3128333333333333</v>
      </c>
      <c r="P3268">
        <f t="shared" si="387"/>
        <v>6938.5</v>
      </c>
      <c r="Q3268" t="str">
        <f t="shared" si="384"/>
        <v>theater</v>
      </c>
      <c r="R3268" t="str">
        <f t="shared" si="385"/>
        <v>plays</v>
      </c>
      <c r="S3268" s="9">
        <f t="shared" si="388"/>
        <v>42136.327800925923</v>
      </c>
      <c r="T3268" s="9">
        <f t="shared" ref="T3268:T3331" si="389">I3268/86400+25569+(-5/24)</f>
        <v>42167.666666666664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86"/>
        <v>1.0209999999999999</v>
      </c>
      <c r="P3269">
        <f t="shared" si="387"/>
        <v>15157.5</v>
      </c>
      <c r="Q3269" t="str">
        <f t="shared" si="384"/>
        <v>theater</v>
      </c>
      <c r="R3269" t="str">
        <f t="shared" si="385"/>
        <v>plays</v>
      </c>
      <c r="S3269" s="9">
        <f t="shared" si="388"/>
        <v>42172.549305555549</v>
      </c>
      <c r="T3269" s="9">
        <f t="shared" si="389"/>
        <v>42202.549305555549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86"/>
        <v>1.28</v>
      </c>
      <c r="P3270">
        <f t="shared" si="387"/>
        <v>2280</v>
      </c>
      <c r="Q3270" t="str">
        <f t="shared" si="384"/>
        <v>theater</v>
      </c>
      <c r="R3270" t="str">
        <f t="shared" si="385"/>
        <v>plays</v>
      </c>
      <c r="S3270" s="9">
        <f t="shared" si="388"/>
        <v>42590.695925925924</v>
      </c>
      <c r="T3270" s="9">
        <f t="shared" si="389"/>
        <v>42606.695925925924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86"/>
        <v>1.0149999999999999</v>
      </c>
      <c r="P3271">
        <f t="shared" si="387"/>
        <v>8060</v>
      </c>
      <c r="Q3271" t="str">
        <f t="shared" si="384"/>
        <v>theater</v>
      </c>
      <c r="R3271" t="str">
        <f t="shared" si="385"/>
        <v>plays</v>
      </c>
      <c r="S3271" s="9">
        <f t="shared" si="388"/>
        <v>42137.187465277777</v>
      </c>
      <c r="T3271" s="9">
        <f t="shared" si="389"/>
        <v>42171.249999999993</v>
      </c>
    </row>
    <row r="3272" spans="1:20" ht="43.5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86"/>
        <v>1.0166666666666666</v>
      </c>
      <c r="P3272">
        <f t="shared" si="387"/>
        <v>1815</v>
      </c>
      <c r="Q3272" t="str">
        <f t="shared" si="384"/>
        <v>theater</v>
      </c>
      <c r="R3272" t="str">
        <f t="shared" si="385"/>
        <v>plays</v>
      </c>
      <c r="S3272" s="9">
        <f t="shared" si="388"/>
        <v>42167.324826388889</v>
      </c>
      <c r="T3272" s="9">
        <f t="shared" si="389"/>
        <v>42197.324826388889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86"/>
        <v>1.3</v>
      </c>
      <c r="P3273">
        <f t="shared" si="387"/>
        <v>1725</v>
      </c>
      <c r="Q3273" t="str">
        <f t="shared" si="384"/>
        <v>theater</v>
      </c>
      <c r="R3273" t="str">
        <f t="shared" si="385"/>
        <v>plays</v>
      </c>
      <c r="S3273" s="9">
        <f t="shared" si="388"/>
        <v>41915.22887731481</v>
      </c>
      <c r="T3273" s="9">
        <f t="shared" si="389"/>
        <v>41945.270543981482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86"/>
        <v>1.5443</v>
      </c>
      <c r="P3274">
        <f t="shared" si="387"/>
        <v>12721.5</v>
      </c>
      <c r="Q3274" t="str">
        <f t="shared" si="384"/>
        <v>theater</v>
      </c>
      <c r="R3274" t="str">
        <f t="shared" si="385"/>
        <v>plays</v>
      </c>
      <c r="S3274" s="9">
        <f t="shared" si="388"/>
        <v>42284.291770833333</v>
      </c>
      <c r="T3274" s="9">
        <f t="shared" si="389"/>
        <v>42314.333437499998</v>
      </c>
    </row>
    <row r="3275" spans="1:20" ht="43.5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86"/>
        <v>1.0740000000000001</v>
      </c>
      <c r="P3275">
        <f t="shared" si="387"/>
        <v>4148</v>
      </c>
      <c r="Q3275" t="str">
        <f t="shared" ref="Q3275:Q3338" si="390">IF(N3275="theater/plays","theater")</f>
        <v>theater</v>
      </c>
      <c r="R3275" t="str">
        <f t="shared" ref="R3275:R3338" si="391">IF(N3275="theater/plays","plays")</f>
        <v>plays</v>
      </c>
      <c r="S3275" s="9">
        <f t="shared" si="388"/>
        <v>42611.5930787037</v>
      </c>
      <c r="T3275" s="9">
        <f t="shared" si="389"/>
        <v>42627.583333333336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86"/>
        <v>1.0132258064516129</v>
      </c>
      <c r="P3276">
        <f t="shared" si="387"/>
        <v>15602.5</v>
      </c>
      <c r="Q3276" t="str">
        <f t="shared" si="390"/>
        <v>theater</v>
      </c>
      <c r="R3276" t="str">
        <f t="shared" si="391"/>
        <v>plays</v>
      </c>
      <c r="S3276" s="9">
        <f t="shared" si="388"/>
        <v>42400.496203703697</v>
      </c>
      <c r="T3276" s="9">
        <f t="shared" si="389"/>
        <v>42444.666666666664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86"/>
        <v>1.0027777777777778</v>
      </c>
      <c r="P3277">
        <f t="shared" si="387"/>
        <v>1802.5</v>
      </c>
      <c r="Q3277" t="str">
        <f t="shared" si="390"/>
        <v>theater</v>
      </c>
      <c r="R3277" t="str">
        <f t="shared" si="391"/>
        <v>plays</v>
      </c>
      <c r="S3277" s="9">
        <f t="shared" si="388"/>
        <v>42017.672118055554</v>
      </c>
      <c r="T3277" s="9">
        <f t="shared" si="389"/>
        <v>42043.979166666664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86"/>
        <v>1.1684444444444444</v>
      </c>
      <c r="P3278">
        <f t="shared" si="387"/>
        <v>4879</v>
      </c>
      <c r="Q3278" t="str">
        <f t="shared" si="390"/>
        <v>theater</v>
      </c>
      <c r="R3278" t="str">
        <f t="shared" si="391"/>
        <v>plays</v>
      </c>
      <c r="S3278" s="9">
        <f t="shared" si="388"/>
        <v>42426.741655092592</v>
      </c>
      <c r="T3278" s="9">
        <f t="shared" si="389"/>
        <v>42460.957638888889</v>
      </c>
    </row>
    <row r="3279" spans="1:20" ht="43.5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86"/>
        <v>1.0860000000000001</v>
      </c>
      <c r="P3279">
        <f t="shared" si="387"/>
        <v>5215</v>
      </c>
      <c r="Q3279" t="str">
        <f t="shared" si="390"/>
        <v>theater</v>
      </c>
      <c r="R3279" t="str">
        <f t="shared" si="391"/>
        <v>plays</v>
      </c>
      <c r="S3279" s="9">
        <f t="shared" si="388"/>
        <v>41931.474606481475</v>
      </c>
      <c r="T3279" s="9">
        <f t="shared" si="389"/>
        <v>41961.516273148147</v>
      </c>
    </row>
    <row r="3280" spans="1:20" ht="43.5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86"/>
        <v>1.034</v>
      </c>
      <c r="P3280">
        <f t="shared" si="387"/>
        <v>2542.5</v>
      </c>
      <c r="Q3280" t="str">
        <f t="shared" si="390"/>
        <v>theater</v>
      </c>
      <c r="R3280" t="str">
        <f t="shared" si="391"/>
        <v>plays</v>
      </c>
      <c r="S3280" s="9">
        <f t="shared" si="388"/>
        <v>42124.640081018515</v>
      </c>
      <c r="T3280" s="9">
        <f t="shared" si="389"/>
        <v>42154.640081018515</v>
      </c>
    </row>
    <row r="3281" spans="1:20" ht="43.5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86"/>
        <v>1.1427586206896552</v>
      </c>
      <c r="P3281">
        <f t="shared" si="387"/>
        <v>6214</v>
      </c>
      <c r="Q3281" t="str">
        <f t="shared" si="390"/>
        <v>theater</v>
      </c>
      <c r="R3281" t="str">
        <f t="shared" si="391"/>
        <v>plays</v>
      </c>
      <c r="S3281" s="9">
        <f t="shared" si="388"/>
        <v>42430.894201388888</v>
      </c>
      <c r="T3281" s="9">
        <f t="shared" si="389"/>
        <v>42460.852534722224</v>
      </c>
    </row>
    <row r="3282" spans="1:20" ht="43.5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86"/>
        <v>1.03</v>
      </c>
      <c r="P3282">
        <f t="shared" si="387"/>
        <v>2030</v>
      </c>
      <c r="Q3282" t="str">
        <f t="shared" si="390"/>
        <v>theater</v>
      </c>
      <c r="R3282" t="str">
        <f t="shared" si="391"/>
        <v>plays</v>
      </c>
      <c r="S3282" s="9">
        <f t="shared" si="388"/>
        <v>42121.548587962963</v>
      </c>
      <c r="T3282" s="9">
        <f t="shared" si="389"/>
        <v>42155.999999999993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86"/>
        <v>1.216</v>
      </c>
      <c r="P3283">
        <f t="shared" si="387"/>
        <v>5540</v>
      </c>
      <c r="Q3283" t="str">
        <f t="shared" si="390"/>
        <v>theater</v>
      </c>
      <c r="R3283" t="str">
        <f t="shared" si="391"/>
        <v>plays</v>
      </c>
      <c r="S3283" s="9">
        <f t="shared" si="388"/>
        <v>42218.811400462961</v>
      </c>
      <c r="T3283" s="9">
        <f t="shared" si="389"/>
        <v>42248.811400462961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86"/>
        <v>1.026467741935484</v>
      </c>
      <c r="P3284">
        <f t="shared" si="387"/>
        <v>31410.25</v>
      </c>
      <c r="Q3284" t="str">
        <f t="shared" si="390"/>
        <v>theater</v>
      </c>
      <c r="R3284" t="str">
        <f t="shared" si="391"/>
        <v>plays</v>
      </c>
      <c r="S3284" s="9">
        <f t="shared" si="388"/>
        <v>42444.985972222225</v>
      </c>
      <c r="T3284" s="9">
        <f t="shared" si="389"/>
        <v>42488.985972222225</v>
      </c>
    </row>
    <row r="3285" spans="1:20" ht="43.5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86"/>
        <v>1.0475000000000001</v>
      </c>
      <c r="P3285">
        <f t="shared" si="387"/>
        <v>819</v>
      </c>
      <c r="Q3285" t="str">
        <f t="shared" si="390"/>
        <v>theater</v>
      </c>
      <c r="R3285" t="str">
        <f t="shared" si="391"/>
        <v>plays</v>
      </c>
      <c r="S3285" s="9">
        <f t="shared" si="388"/>
        <v>42379.535856481474</v>
      </c>
      <c r="T3285" s="9">
        <f t="shared" si="389"/>
        <v>42410.666666666664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86"/>
        <v>1.016</v>
      </c>
      <c r="P3286">
        <f t="shared" si="387"/>
        <v>3024</v>
      </c>
      <c r="Q3286" t="str">
        <f t="shared" si="390"/>
        <v>theater</v>
      </c>
      <c r="R3286" t="str">
        <f t="shared" si="391"/>
        <v>plays</v>
      </c>
      <c r="S3286" s="9">
        <f t="shared" si="388"/>
        <v>42380.676539351851</v>
      </c>
      <c r="T3286" s="9">
        <f t="shared" si="389"/>
        <v>42398.040972222218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86"/>
        <v>1.1210242048409682</v>
      </c>
      <c r="P3287">
        <f t="shared" si="387"/>
        <v>5301.5</v>
      </c>
      <c r="Q3287" t="str">
        <f t="shared" si="390"/>
        <v>theater</v>
      </c>
      <c r="R3287" t="str">
        <f t="shared" si="391"/>
        <v>plays</v>
      </c>
      <c r="S3287" s="9">
        <f t="shared" si="388"/>
        <v>42762.734097222223</v>
      </c>
      <c r="T3287" s="9">
        <f t="shared" si="389"/>
        <v>42793.999999999993</v>
      </c>
    </row>
    <row r="3288" spans="1:20" ht="43.5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86"/>
        <v>1.0176666666666667</v>
      </c>
      <c r="P3288">
        <f t="shared" si="387"/>
        <v>15132.5</v>
      </c>
      <c r="Q3288" t="str">
        <f t="shared" si="390"/>
        <v>theater</v>
      </c>
      <c r="R3288" t="str">
        <f t="shared" si="391"/>
        <v>plays</v>
      </c>
      <c r="S3288" s="9">
        <f t="shared" si="388"/>
        <v>42567.631736111107</v>
      </c>
      <c r="T3288" s="9">
        <f t="shared" si="389"/>
        <v>42597.631736111107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86"/>
        <v>1</v>
      </c>
      <c r="P3289">
        <f t="shared" si="387"/>
        <v>2500</v>
      </c>
      <c r="Q3289" t="str">
        <f t="shared" si="390"/>
        <v>theater</v>
      </c>
      <c r="R3289" t="str">
        <f t="shared" si="391"/>
        <v>plays</v>
      </c>
      <c r="S3289" s="9">
        <f t="shared" si="388"/>
        <v>42311.541990740741</v>
      </c>
      <c r="T3289" s="9">
        <f t="shared" si="389"/>
        <v>42336.541990740741</v>
      </c>
    </row>
    <row r="3290" spans="1:20" ht="43.5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86"/>
        <v>1.0026489999999999</v>
      </c>
      <c r="P3290">
        <f t="shared" si="387"/>
        <v>10013.244999999999</v>
      </c>
      <c r="Q3290" t="str">
        <f t="shared" si="390"/>
        <v>theater</v>
      </c>
      <c r="R3290" t="str">
        <f t="shared" si="391"/>
        <v>plays</v>
      </c>
      <c r="S3290" s="9">
        <f t="shared" si="388"/>
        <v>42505.566145833327</v>
      </c>
      <c r="T3290" s="9">
        <f t="shared" si="389"/>
        <v>42541.749999999993</v>
      </c>
    </row>
    <row r="3291" spans="1:20" ht="43.5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86"/>
        <v>1.3304200000000002</v>
      </c>
      <c r="P3291">
        <f t="shared" si="387"/>
        <v>582.60500000000002</v>
      </c>
      <c r="Q3291" t="str">
        <f t="shared" si="390"/>
        <v>theater</v>
      </c>
      <c r="R3291" t="str">
        <f t="shared" si="391"/>
        <v>plays</v>
      </c>
      <c r="S3291" s="9">
        <f t="shared" si="388"/>
        <v>42758.159745370365</v>
      </c>
      <c r="T3291" s="9">
        <f t="shared" si="389"/>
        <v>42786.159745370365</v>
      </c>
    </row>
    <row r="3292" spans="1:20" ht="58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86"/>
        <v>1.212</v>
      </c>
      <c r="P3292">
        <f t="shared" si="387"/>
        <v>2212</v>
      </c>
      <c r="Q3292" t="str">
        <f t="shared" si="390"/>
        <v>theater</v>
      </c>
      <c r="R3292" t="str">
        <f t="shared" si="391"/>
        <v>plays</v>
      </c>
      <c r="S3292" s="9">
        <f t="shared" si="388"/>
        <v>42775.306608796294</v>
      </c>
      <c r="T3292" s="9">
        <f t="shared" si="389"/>
        <v>42805.306608796294</v>
      </c>
    </row>
    <row r="3293" spans="1:20" ht="43.5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86"/>
        <v>1.1399999999999999</v>
      </c>
      <c r="P3293">
        <f t="shared" si="387"/>
        <v>535</v>
      </c>
      <c r="Q3293" t="str">
        <f t="shared" si="390"/>
        <v>theater</v>
      </c>
      <c r="R3293" t="str">
        <f t="shared" si="391"/>
        <v>plays</v>
      </c>
      <c r="S3293" s="9">
        <f t="shared" si="388"/>
        <v>42232.494212962956</v>
      </c>
      <c r="T3293" s="9">
        <f t="shared" si="389"/>
        <v>42263.957638888889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86"/>
        <v>2.8613861386138613</v>
      </c>
      <c r="P3294">
        <f t="shared" si="387"/>
        <v>195</v>
      </c>
      <c r="Q3294" t="str">
        <f t="shared" si="390"/>
        <v>theater</v>
      </c>
      <c r="R3294" t="str">
        <f t="shared" si="391"/>
        <v>plays</v>
      </c>
      <c r="S3294" s="9">
        <f t="shared" si="388"/>
        <v>42282.561898148146</v>
      </c>
      <c r="T3294" s="9">
        <f t="shared" si="389"/>
        <v>42342.603564814817</v>
      </c>
    </row>
    <row r="3295" spans="1:20" ht="43.5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86"/>
        <v>1.7044444444444444</v>
      </c>
      <c r="P3295">
        <f t="shared" si="387"/>
        <v>6085</v>
      </c>
      <c r="Q3295" t="str">
        <f t="shared" si="390"/>
        <v>theater</v>
      </c>
      <c r="R3295" t="str">
        <f t="shared" si="391"/>
        <v>plays</v>
      </c>
      <c r="S3295" s="9">
        <f t="shared" si="388"/>
        <v>42768.217037037037</v>
      </c>
      <c r="T3295" s="9">
        <f t="shared" si="389"/>
        <v>42798.217037037037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86"/>
        <v>1.1833333333333333</v>
      </c>
      <c r="P3296">
        <f t="shared" si="387"/>
        <v>655</v>
      </c>
      <c r="Q3296" t="str">
        <f t="shared" si="390"/>
        <v>theater</v>
      </c>
      <c r="R3296" t="str">
        <f t="shared" si="391"/>
        <v>plays</v>
      </c>
      <c r="S3296" s="9">
        <f t="shared" si="388"/>
        <v>42141.33280092592</v>
      </c>
      <c r="T3296" s="9">
        <f t="shared" si="389"/>
        <v>42171.33280092592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86"/>
        <v>1.0285857142857142</v>
      </c>
      <c r="P3297">
        <f t="shared" si="387"/>
        <v>710.005</v>
      </c>
      <c r="Q3297" t="str">
        <f t="shared" si="390"/>
        <v>theater</v>
      </c>
      <c r="R3297" t="str">
        <f t="shared" si="391"/>
        <v>plays</v>
      </c>
      <c r="S3297" s="9">
        <f t="shared" si="388"/>
        <v>42609.234131944446</v>
      </c>
      <c r="T3297" s="9">
        <f t="shared" si="389"/>
        <v>42639.234131944446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86"/>
        <v>1.4406666666666668</v>
      </c>
      <c r="P3298">
        <f t="shared" si="387"/>
        <v>1830.5</v>
      </c>
      <c r="Q3298" t="str">
        <f t="shared" si="390"/>
        <v>theater</v>
      </c>
      <c r="R3298" t="str">
        <f t="shared" si="391"/>
        <v>plays</v>
      </c>
      <c r="S3298" s="9">
        <f t="shared" si="388"/>
        <v>42309.54828703704</v>
      </c>
      <c r="T3298" s="9">
        <f t="shared" si="389"/>
        <v>42330.708333333336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86"/>
        <v>1.0007272727272727</v>
      </c>
      <c r="P3299">
        <f t="shared" si="387"/>
        <v>5502</v>
      </c>
      <c r="Q3299" t="str">
        <f t="shared" si="390"/>
        <v>theater</v>
      </c>
      <c r="R3299" t="str">
        <f t="shared" si="391"/>
        <v>plays</v>
      </c>
      <c r="S3299" s="9">
        <f t="shared" si="388"/>
        <v>42193.563148148147</v>
      </c>
      <c r="T3299" s="9">
        <f t="shared" si="389"/>
        <v>42212.749305555553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86"/>
        <v>1.0173000000000001</v>
      </c>
      <c r="P3300">
        <f t="shared" si="387"/>
        <v>10086.5</v>
      </c>
      <c r="Q3300" t="str">
        <f t="shared" si="390"/>
        <v>theater</v>
      </c>
      <c r="R3300" t="str">
        <f t="shared" si="391"/>
        <v>plays</v>
      </c>
      <c r="S3300" s="9">
        <f t="shared" si="388"/>
        <v>42239.749629629623</v>
      </c>
      <c r="T3300" s="9">
        <f t="shared" si="389"/>
        <v>42259.791666666664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86"/>
        <v>1.1619999999999999</v>
      </c>
      <c r="P3301">
        <f t="shared" si="387"/>
        <v>3243</v>
      </c>
      <c r="Q3301" t="str">
        <f t="shared" si="390"/>
        <v>theater</v>
      </c>
      <c r="R3301" t="str">
        <f t="shared" si="391"/>
        <v>plays</v>
      </c>
      <c r="S3301" s="9">
        <f t="shared" si="388"/>
        <v>42261.709062499998</v>
      </c>
      <c r="T3301" s="9">
        <f t="shared" si="389"/>
        <v>42291.709062499998</v>
      </c>
    </row>
    <row r="3302" spans="1:20" ht="29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86"/>
        <v>1.3616666666666666</v>
      </c>
      <c r="P3302">
        <f t="shared" si="387"/>
        <v>3542.5</v>
      </c>
      <c r="Q3302" t="str">
        <f t="shared" si="390"/>
        <v>theater</v>
      </c>
      <c r="R3302" t="str">
        <f t="shared" si="391"/>
        <v>plays</v>
      </c>
      <c r="S3302" s="9">
        <f t="shared" si="388"/>
        <v>42102.535439814812</v>
      </c>
      <c r="T3302" s="9">
        <f t="shared" si="389"/>
        <v>42123.535439814812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86"/>
        <v>1.3346666666666667</v>
      </c>
      <c r="P3303">
        <f t="shared" si="387"/>
        <v>3502</v>
      </c>
      <c r="Q3303" t="str">
        <f t="shared" si="390"/>
        <v>theater</v>
      </c>
      <c r="R3303" t="str">
        <f t="shared" si="391"/>
        <v>plays</v>
      </c>
      <c r="S3303" s="9">
        <f t="shared" si="388"/>
        <v>42538.527499999997</v>
      </c>
      <c r="T3303" s="9">
        <f t="shared" si="389"/>
        <v>42583.082638888889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86"/>
        <v>1.0339285714285715</v>
      </c>
      <c r="P3304">
        <f t="shared" si="387"/>
        <v>8542.5</v>
      </c>
      <c r="Q3304" t="str">
        <f t="shared" si="390"/>
        <v>theater</v>
      </c>
      <c r="R3304" t="str">
        <f t="shared" si="391"/>
        <v>plays</v>
      </c>
      <c r="S3304" s="9">
        <f t="shared" si="388"/>
        <v>42681.143240740734</v>
      </c>
      <c r="T3304" s="9">
        <f t="shared" si="389"/>
        <v>42711.143240740734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86"/>
        <v>1.1588888888888889</v>
      </c>
      <c r="P3305">
        <f t="shared" si="387"/>
        <v>1943</v>
      </c>
      <c r="Q3305" t="str">
        <f t="shared" si="390"/>
        <v>theater</v>
      </c>
      <c r="R3305" t="str">
        <f t="shared" si="391"/>
        <v>plays</v>
      </c>
      <c r="S3305" s="9">
        <f t="shared" si="388"/>
        <v>42056.443101851844</v>
      </c>
      <c r="T3305" s="9">
        <f t="shared" si="389"/>
        <v>42091.401435185187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86"/>
        <v>1.0451666666666666</v>
      </c>
      <c r="P3306">
        <f t="shared" si="387"/>
        <v>15338.75</v>
      </c>
      <c r="Q3306" t="str">
        <f t="shared" si="390"/>
        <v>theater</v>
      </c>
      <c r="R3306" t="str">
        <f t="shared" si="391"/>
        <v>plays</v>
      </c>
      <c r="S3306" s="9">
        <f t="shared" si="388"/>
        <v>42696.41611111111</v>
      </c>
      <c r="T3306" s="9">
        <f t="shared" si="389"/>
        <v>42726.41611111111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86"/>
        <v>1.0202500000000001</v>
      </c>
      <c r="P3307">
        <f t="shared" si="387"/>
        <v>4040.5</v>
      </c>
      <c r="Q3307" t="str">
        <f t="shared" si="390"/>
        <v>theater</v>
      </c>
      <c r="R3307" t="str">
        <f t="shared" si="391"/>
        <v>plays</v>
      </c>
      <c r="S3307" s="9">
        <f t="shared" si="388"/>
        <v>42186.647546296292</v>
      </c>
      <c r="T3307" s="9">
        <f t="shared" si="389"/>
        <v>42216.647546296292</v>
      </c>
    </row>
    <row r="3308" spans="1:20" ht="43.5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86"/>
        <v>1.7533333333333334</v>
      </c>
      <c r="P3308">
        <f t="shared" si="387"/>
        <v>2065</v>
      </c>
      <c r="Q3308" t="str">
        <f t="shared" si="390"/>
        <v>theater</v>
      </c>
      <c r="R3308" t="str">
        <f t="shared" si="391"/>
        <v>plays</v>
      </c>
      <c r="S3308" s="9">
        <f t="shared" si="388"/>
        <v>42493.010902777773</v>
      </c>
      <c r="T3308" s="9">
        <f t="shared" si="389"/>
        <v>42530.916666666664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86"/>
        <v>1.0668</v>
      </c>
      <c r="P3309">
        <f t="shared" si="387"/>
        <v>1033.4000000000001</v>
      </c>
      <c r="Q3309" t="str">
        <f t="shared" si="390"/>
        <v>theater</v>
      </c>
      <c r="R3309" t="str">
        <f t="shared" si="391"/>
        <v>plays</v>
      </c>
      <c r="S3309" s="9">
        <f t="shared" si="388"/>
        <v>42474.848831018513</v>
      </c>
      <c r="T3309" s="9">
        <f t="shared" si="389"/>
        <v>42504.848831018513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86"/>
        <v>1.2228571428571429</v>
      </c>
      <c r="P3310">
        <f t="shared" si="387"/>
        <v>3890</v>
      </c>
      <c r="Q3310" t="str">
        <f t="shared" si="390"/>
        <v>theater</v>
      </c>
      <c r="R3310" t="str">
        <f t="shared" si="391"/>
        <v>plays</v>
      </c>
      <c r="S3310" s="9">
        <f t="shared" si="388"/>
        <v>42452.668576388889</v>
      </c>
      <c r="T3310" s="9">
        <f t="shared" si="389"/>
        <v>42473.668576388889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86"/>
        <v>1.5942857142857143</v>
      </c>
      <c r="P3311">
        <f t="shared" si="387"/>
        <v>454</v>
      </c>
      <c r="Q3311" t="str">
        <f t="shared" si="390"/>
        <v>theater</v>
      </c>
      <c r="R3311" t="str">
        <f t="shared" si="391"/>
        <v>plays</v>
      </c>
      <c r="S3311" s="9">
        <f t="shared" si="388"/>
        <v>42628.441874999997</v>
      </c>
      <c r="T3311" s="9">
        <f t="shared" si="389"/>
        <v>42659.441874999997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86"/>
        <v>1.0007692307692309</v>
      </c>
      <c r="P3312">
        <f t="shared" si="387"/>
        <v>6502.5</v>
      </c>
      <c r="Q3312" t="str">
        <f t="shared" si="390"/>
        <v>theater</v>
      </c>
      <c r="R3312" t="str">
        <f t="shared" si="391"/>
        <v>plays</v>
      </c>
      <c r="S3312" s="9">
        <f t="shared" si="388"/>
        <v>42253.720196759255</v>
      </c>
      <c r="T3312" s="9">
        <f t="shared" si="389"/>
        <v>42283.720196759255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86"/>
        <v>1.0984</v>
      </c>
      <c r="P3313">
        <f t="shared" si="387"/>
        <v>2623</v>
      </c>
      <c r="Q3313" t="str">
        <f t="shared" si="390"/>
        <v>theater</v>
      </c>
      <c r="R3313" t="str">
        <f t="shared" si="391"/>
        <v>plays</v>
      </c>
      <c r="S3313" s="9">
        <f t="shared" si="388"/>
        <v>42264.083449074074</v>
      </c>
      <c r="T3313" s="9">
        <f t="shared" si="389"/>
        <v>42294.083449074074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86"/>
        <v>1.0004</v>
      </c>
      <c r="P3314">
        <f t="shared" si="387"/>
        <v>2500.5</v>
      </c>
      <c r="Q3314" t="str">
        <f t="shared" si="390"/>
        <v>theater</v>
      </c>
      <c r="R3314" t="str">
        <f t="shared" si="391"/>
        <v>plays</v>
      </c>
      <c r="S3314" s="9">
        <f t="shared" si="388"/>
        <v>42664.601226851846</v>
      </c>
      <c r="T3314" s="9">
        <f t="shared" si="389"/>
        <v>42685.708333333336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86"/>
        <v>1.1605000000000001</v>
      </c>
      <c r="P3315">
        <f t="shared" si="387"/>
        <v>2160.5</v>
      </c>
      <c r="Q3315" t="str">
        <f t="shared" si="390"/>
        <v>theater</v>
      </c>
      <c r="R3315" t="str">
        <f t="shared" si="391"/>
        <v>plays</v>
      </c>
      <c r="S3315" s="9">
        <f t="shared" si="388"/>
        <v>42382.036076388882</v>
      </c>
      <c r="T3315" s="9">
        <f t="shared" si="389"/>
        <v>42395.833333333336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86"/>
        <v>2.1074999999999999</v>
      </c>
      <c r="P3316">
        <f t="shared" si="387"/>
        <v>1243</v>
      </c>
      <c r="Q3316" t="str">
        <f t="shared" si="390"/>
        <v>theater</v>
      </c>
      <c r="R3316" t="str">
        <f t="shared" si="391"/>
        <v>plays</v>
      </c>
      <c r="S3316" s="9">
        <f t="shared" si="388"/>
        <v>42105.059155092589</v>
      </c>
      <c r="T3316" s="9">
        <f t="shared" si="389"/>
        <v>42132.628472222219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86"/>
        <v>1.1000000000000001</v>
      </c>
      <c r="P3317">
        <f t="shared" si="387"/>
        <v>4200</v>
      </c>
      <c r="Q3317" t="str">
        <f t="shared" si="390"/>
        <v>theater</v>
      </c>
      <c r="R3317" t="str">
        <f t="shared" si="391"/>
        <v>plays</v>
      </c>
      <c r="S3317" s="9">
        <f t="shared" si="388"/>
        <v>42466.09538194444</v>
      </c>
      <c r="T3317" s="9">
        <f t="shared" si="389"/>
        <v>42496.09538194444</v>
      </c>
    </row>
    <row r="3318" spans="1:20" ht="43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86"/>
        <v>1.0008673425918038</v>
      </c>
      <c r="P3318">
        <f t="shared" si="387"/>
        <v>11742.09</v>
      </c>
      <c r="Q3318" t="str">
        <f t="shared" si="390"/>
        <v>theater</v>
      </c>
      <c r="R3318" t="str">
        <f t="shared" si="391"/>
        <v>plays</v>
      </c>
      <c r="S3318" s="9">
        <f t="shared" si="388"/>
        <v>41826.662905092591</v>
      </c>
      <c r="T3318" s="9">
        <f t="shared" si="389"/>
        <v>41859.370833333327</v>
      </c>
    </row>
    <row r="3319" spans="1:20" ht="29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86"/>
        <v>1.0619047619047619</v>
      </c>
      <c r="P3319">
        <f t="shared" si="387"/>
        <v>1082.5</v>
      </c>
      <c r="Q3319" t="str">
        <f t="shared" si="390"/>
        <v>theater</v>
      </c>
      <c r="R3319" t="str">
        <f t="shared" si="391"/>
        <v>plays</v>
      </c>
      <c r="S3319" s="9">
        <f t="shared" si="388"/>
        <v>42498.831296296295</v>
      </c>
      <c r="T3319" s="9">
        <f t="shared" si="389"/>
        <v>42528.831296296295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86"/>
        <v>1.256</v>
      </c>
      <c r="P3320">
        <f t="shared" si="387"/>
        <v>2256</v>
      </c>
      <c r="Q3320" t="str">
        <f t="shared" si="390"/>
        <v>theater</v>
      </c>
      <c r="R3320" t="str">
        <f t="shared" si="391"/>
        <v>plays</v>
      </c>
      <c r="S3320" s="9">
        <f t="shared" si="388"/>
        <v>42431.093668981477</v>
      </c>
      <c r="T3320" s="9">
        <f t="shared" si="389"/>
        <v>42470.895833333336</v>
      </c>
    </row>
    <row r="3321" spans="1:20" ht="43.5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86"/>
        <v>1.08</v>
      </c>
      <c r="P3321">
        <f t="shared" si="387"/>
        <v>520</v>
      </c>
      <c r="Q3321" t="str">
        <f t="shared" si="390"/>
        <v>theater</v>
      </c>
      <c r="R3321" t="str">
        <f t="shared" si="391"/>
        <v>plays</v>
      </c>
      <c r="S3321" s="9">
        <f t="shared" si="388"/>
        <v>41990.377152777779</v>
      </c>
      <c r="T3321" s="9">
        <f t="shared" si="389"/>
        <v>42035.377152777779</v>
      </c>
    </row>
    <row r="3322" spans="1:20" ht="29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86"/>
        <v>1.01</v>
      </c>
      <c r="P3322">
        <f t="shared" si="387"/>
        <v>2512.5</v>
      </c>
      <c r="Q3322" t="str">
        <f t="shared" si="390"/>
        <v>theater</v>
      </c>
      <c r="R3322" t="str">
        <f t="shared" si="391"/>
        <v>plays</v>
      </c>
      <c r="S3322" s="9">
        <f t="shared" si="388"/>
        <v>42512.837465277778</v>
      </c>
      <c r="T3322" s="9">
        <f t="shared" si="389"/>
        <v>42542.837465277778</v>
      </c>
    </row>
    <row r="3323" spans="1:20" ht="43.5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86"/>
        <v>1.0740000000000001</v>
      </c>
      <c r="P3323">
        <f t="shared" si="387"/>
        <v>518.5</v>
      </c>
      <c r="Q3323" t="str">
        <f t="shared" si="390"/>
        <v>theater</v>
      </c>
      <c r="R3323" t="str">
        <f t="shared" si="391"/>
        <v>plays</v>
      </c>
      <c r="S3323" s="9">
        <f t="shared" si="388"/>
        <v>41913.891956018517</v>
      </c>
      <c r="T3323" s="9">
        <f t="shared" si="389"/>
        <v>41927.957638888889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86"/>
        <v>1.0151515151515151</v>
      </c>
      <c r="P3324">
        <f t="shared" si="387"/>
        <v>3325</v>
      </c>
      <c r="Q3324" t="str">
        <f t="shared" si="390"/>
        <v>theater</v>
      </c>
      <c r="R3324" t="str">
        <f t="shared" si="391"/>
        <v>plays</v>
      </c>
      <c r="S3324" s="9">
        <f t="shared" si="388"/>
        <v>42520.802037037036</v>
      </c>
      <c r="T3324" s="9">
        <f t="shared" si="389"/>
        <v>42542.954861111109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86"/>
        <v>1.2589999999999999</v>
      </c>
      <c r="P3325">
        <f t="shared" si="387"/>
        <v>1129.5</v>
      </c>
      <c r="Q3325" t="str">
        <f t="shared" si="390"/>
        <v>theater</v>
      </c>
      <c r="R3325" t="str">
        <f t="shared" si="391"/>
        <v>plays</v>
      </c>
      <c r="S3325" s="9">
        <f t="shared" si="388"/>
        <v>42608.157499999994</v>
      </c>
      <c r="T3325" s="9">
        <f t="shared" si="389"/>
        <v>42638.157499999994</v>
      </c>
    </row>
    <row r="3326" spans="1:20" ht="29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86"/>
        <v>1.0166666666666666</v>
      </c>
      <c r="P3326">
        <f t="shared" si="387"/>
        <v>1512.5</v>
      </c>
      <c r="Q3326" t="str">
        <f t="shared" si="390"/>
        <v>theater</v>
      </c>
      <c r="R3326" t="str">
        <f t="shared" si="391"/>
        <v>plays</v>
      </c>
      <c r="S3326" s="9">
        <f t="shared" si="388"/>
        <v>42512.374884259254</v>
      </c>
      <c r="T3326" s="9">
        <f t="shared" si="389"/>
        <v>42526.374884259254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86"/>
        <v>1.125</v>
      </c>
      <c r="P3327">
        <f t="shared" si="387"/>
        <v>425</v>
      </c>
      <c r="Q3327" t="str">
        <f t="shared" si="390"/>
        <v>theater</v>
      </c>
      <c r="R3327" t="str">
        <f t="shared" si="391"/>
        <v>plays</v>
      </c>
      <c r="S3327" s="9">
        <f t="shared" si="388"/>
        <v>42064.577280092592</v>
      </c>
      <c r="T3327" s="9">
        <f t="shared" si="389"/>
        <v>42099.535613425927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86"/>
        <v>1.0137499999999999</v>
      </c>
      <c r="P3328">
        <f t="shared" si="387"/>
        <v>8055</v>
      </c>
      <c r="Q3328" t="str">
        <f t="shared" si="390"/>
        <v>theater</v>
      </c>
      <c r="R3328" t="str">
        <f t="shared" si="391"/>
        <v>plays</v>
      </c>
      <c r="S3328" s="9">
        <f t="shared" si="388"/>
        <v>42041.505844907406</v>
      </c>
      <c r="T3328" s="9">
        <f t="shared" si="389"/>
        <v>42071.464178240734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86"/>
        <v>1.0125</v>
      </c>
      <c r="P3329">
        <f t="shared" si="387"/>
        <v>805</v>
      </c>
      <c r="Q3329" t="str">
        <f t="shared" si="390"/>
        <v>theater</v>
      </c>
      <c r="R3329" t="str">
        <f t="shared" si="391"/>
        <v>plays</v>
      </c>
      <c r="S3329" s="9">
        <f t="shared" si="388"/>
        <v>42468.166273148141</v>
      </c>
      <c r="T3329" s="9">
        <f t="shared" si="389"/>
        <v>42498.166273148141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86"/>
        <v>1.4638888888888888</v>
      </c>
      <c r="P3330">
        <f t="shared" si="387"/>
        <v>2217.5</v>
      </c>
      <c r="Q3330" t="str">
        <f t="shared" si="390"/>
        <v>theater</v>
      </c>
      <c r="R3330" t="str">
        <f t="shared" si="391"/>
        <v>plays</v>
      </c>
      <c r="S3330" s="9">
        <f t="shared" si="388"/>
        <v>41822.366701388884</v>
      </c>
      <c r="T3330" s="9">
        <f t="shared" si="389"/>
        <v>41824.833333333328</v>
      </c>
    </row>
    <row r="3331" spans="1:20" ht="29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92">E3331/D3331</f>
        <v>1.1679999999999999</v>
      </c>
      <c r="P3331">
        <f t="shared" ref="P3331:P3394" si="393">AVERAGE(D3331:E3331)</f>
        <v>1084</v>
      </c>
      <c r="Q3331" t="str">
        <f t="shared" si="390"/>
        <v>theater</v>
      </c>
      <c r="R3331" t="str">
        <f t="shared" si="391"/>
        <v>plays</v>
      </c>
      <c r="S3331" s="9">
        <f t="shared" ref="S3331:S3394" si="394">J3331/86400+25569+(-5/24)</f>
        <v>41837.114675925921</v>
      </c>
      <c r="T3331" s="9">
        <f t="shared" si="389"/>
        <v>41847.75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92"/>
        <v>1.0626666666666666</v>
      </c>
      <c r="P3332">
        <f t="shared" si="393"/>
        <v>1547</v>
      </c>
      <c r="Q3332" t="str">
        <f t="shared" si="390"/>
        <v>theater</v>
      </c>
      <c r="R3332" t="str">
        <f t="shared" si="391"/>
        <v>plays</v>
      </c>
      <c r="S3332" s="9">
        <f t="shared" si="394"/>
        <v>42065.679027777776</v>
      </c>
      <c r="T3332" s="9">
        <f t="shared" ref="T3332:T3395" si="395">I3332/86400+25569+(-5/24)</f>
        <v>42095.637361111112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92"/>
        <v>1.0451999999999999</v>
      </c>
      <c r="P3333">
        <f t="shared" si="393"/>
        <v>5113</v>
      </c>
      <c r="Q3333" t="str">
        <f t="shared" si="390"/>
        <v>theater</v>
      </c>
      <c r="R3333" t="str">
        <f t="shared" si="391"/>
        <v>plays</v>
      </c>
      <c r="S3333" s="9">
        <f t="shared" si="394"/>
        <v>42248.48942129629</v>
      </c>
      <c r="T3333" s="9">
        <f t="shared" si="395"/>
        <v>42283.48942129629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92"/>
        <v>1</v>
      </c>
      <c r="P3334">
        <f t="shared" si="393"/>
        <v>6000</v>
      </c>
      <c r="Q3334" t="str">
        <f t="shared" si="390"/>
        <v>theater</v>
      </c>
      <c r="R3334" t="str">
        <f t="shared" si="391"/>
        <v>plays</v>
      </c>
      <c r="S3334" s="9">
        <f t="shared" si="394"/>
        <v>41809.651967592588</v>
      </c>
      <c r="T3334" s="9">
        <f t="shared" si="395"/>
        <v>41839.651967592588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92"/>
        <v>1.0457142857142858</v>
      </c>
      <c r="P3335">
        <f t="shared" si="393"/>
        <v>3580</v>
      </c>
      <c r="Q3335" t="str">
        <f t="shared" si="390"/>
        <v>theater</v>
      </c>
      <c r="R3335" t="str">
        <f t="shared" si="391"/>
        <v>plays</v>
      </c>
      <c r="S3335" s="9">
        <f t="shared" si="394"/>
        <v>42148.468518518515</v>
      </c>
      <c r="T3335" s="9">
        <f t="shared" si="395"/>
        <v>42170.468518518515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92"/>
        <v>1.3862051149573753</v>
      </c>
      <c r="P3336">
        <f t="shared" si="393"/>
        <v>4618.5</v>
      </c>
      <c r="Q3336" t="str">
        <f t="shared" si="390"/>
        <v>theater</v>
      </c>
      <c r="R3336" t="str">
        <f t="shared" si="391"/>
        <v>plays</v>
      </c>
      <c r="S3336" s="9">
        <f t="shared" si="394"/>
        <v>42185.312754629624</v>
      </c>
      <c r="T3336" s="9">
        <f t="shared" si="395"/>
        <v>42215.312754629624</v>
      </c>
    </row>
    <row r="3337" spans="1:20" ht="43.5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92"/>
        <v>1.0032000000000001</v>
      </c>
      <c r="P3337">
        <f t="shared" si="393"/>
        <v>5008</v>
      </c>
      <c r="Q3337" t="str">
        <f t="shared" si="390"/>
        <v>theater</v>
      </c>
      <c r="R3337" t="str">
        <f t="shared" si="391"/>
        <v>plays</v>
      </c>
      <c r="S3337" s="9">
        <f t="shared" si="394"/>
        <v>41827.465810185182</v>
      </c>
      <c r="T3337" s="9">
        <f t="shared" si="395"/>
        <v>41854.75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92"/>
        <v>1</v>
      </c>
      <c r="P3338">
        <f t="shared" si="393"/>
        <v>250</v>
      </c>
      <c r="Q3338" t="str">
        <f t="shared" si="390"/>
        <v>theater</v>
      </c>
      <c r="R3338" t="str">
        <f t="shared" si="391"/>
        <v>plays</v>
      </c>
      <c r="S3338" s="9">
        <f t="shared" si="394"/>
        <v>42437.190347222218</v>
      </c>
      <c r="T3338" s="9">
        <f t="shared" si="395"/>
        <v>42465.148680555554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92"/>
        <v>1.1020000000000001</v>
      </c>
      <c r="P3339">
        <f t="shared" si="393"/>
        <v>2627.5</v>
      </c>
      <c r="Q3339" t="str">
        <f t="shared" ref="Q3339:Q3402" si="396">IF(N3339="theater/plays","theater")</f>
        <v>theater</v>
      </c>
      <c r="R3339" t="str">
        <f t="shared" ref="R3339:R3402" si="397">IF(N3339="theater/plays","plays")</f>
        <v>plays</v>
      </c>
      <c r="S3339" s="9">
        <f t="shared" si="394"/>
        <v>41901.073692129627</v>
      </c>
      <c r="T3339" s="9">
        <f t="shared" si="395"/>
        <v>41922.666666666664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92"/>
        <v>1.0218</v>
      </c>
      <c r="P3340">
        <f t="shared" si="393"/>
        <v>15163.5</v>
      </c>
      <c r="Q3340" t="str">
        <f t="shared" si="396"/>
        <v>theater</v>
      </c>
      <c r="R3340" t="str">
        <f t="shared" si="397"/>
        <v>plays</v>
      </c>
      <c r="S3340" s="9">
        <f t="shared" si="394"/>
        <v>42769.366666666661</v>
      </c>
      <c r="T3340" s="9">
        <f t="shared" si="395"/>
        <v>42790.366666666661</v>
      </c>
    </row>
    <row r="3341" spans="1:20" ht="29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92"/>
        <v>1.0435000000000001</v>
      </c>
      <c r="P3341">
        <f t="shared" si="393"/>
        <v>8174</v>
      </c>
      <c r="Q3341" t="str">
        <f t="shared" si="396"/>
        <v>theater</v>
      </c>
      <c r="R3341" t="str">
        <f t="shared" si="397"/>
        <v>plays</v>
      </c>
      <c r="S3341" s="9">
        <f t="shared" si="394"/>
        <v>42549.457384259258</v>
      </c>
      <c r="T3341" s="9">
        <f t="shared" si="395"/>
        <v>42579.457384259258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92"/>
        <v>1.3816666666666666</v>
      </c>
      <c r="P3342">
        <f t="shared" si="393"/>
        <v>3572.5</v>
      </c>
      <c r="Q3342" t="str">
        <f t="shared" si="396"/>
        <v>theater</v>
      </c>
      <c r="R3342" t="str">
        <f t="shared" si="397"/>
        <v>plays</v>
      </c>
      <c r="S3342" s="9">
        <f t="shared" si="394"/>
        <v>42685.765671296293</v>
      </c>
      <c r="T3342" s="9">
        <f t="shared" si="395"/>
        <v>42710.765671296293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92"/>
        <v>1</v>
      </c>
      <c r="P3343">
        <f t="shared" si="393"/>
        <v>3350</v>
      </c>
      <c r="Q3343" t="str">
        <f t="shared" si="396"/>
        <v>theater</v>
      </c>
      <c r="R3343" t="str">
        <f t="shared" si="397"/>
        <v>plays</v>
      </c>
      <c r="S3343" s="9">
        <f t="shared" si="394"/>
        <v>42510.590520833335</v>
      </c>
      <c r="T3343" s="9">
        <f t="shared" si="395"/>
        <v>42533.499999999993</v>
      </c>
    </row>
    <row r="3344" spans="1:20" ht="29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92"/>
        <v>1.0166666666666666</v>
      </c>
      <c r="P3344">
        <f t="shared" si="393"/>
        <v>6050</v>
      </c>
      <c r="Q3344" t="str">
        <f t="shared" si="396"/>
        <v>theater</v>
      </c>
      <c r="R3344" t="str">
        <f t="shared" si="397"/>
        <v>plays</v>
      </c>
      <c r="S3344" s="9">
        <f t="shared" si="394"/>
        <v>42062.088078703702</v>
      </c>
      <c r="T3344" s="9">
        <f t="shared" si="395"/>
        <v>42094.999305555553</v>
      </c>
    </row>
    <row r="3345" spans="1:20" ht="29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92"/>
        <v>1.7142857142857142</v>
      </c>
      <c r="P3345">
        <f t="shared" si="393"/>
        <v>950</v>
      </c>
      <c r="Q3345" t="str">
        <f t="shared" si="396"/>
        <v>theater</v>
      </c>
      <c r="R3345" t="str">
        <f t="shared" si="397"/>
        <v>plays</v>
      </c>
      <c r="S3345" s="9">
        <f t="shared" si="394"/>
        <v>42452.708148148151</v>
      </c>
      <c r="T3345" s="9">
        <f t="shared" si="395"/>
        <v>42473.345833333333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92"/>
        <v>1.0144444444444445</v>
      </c>
      <c r="P3346">
        <f t="shared" si="393"/>
        <v>4532.5</v>
      </c>
      <c r="Q3346" t="str">
        <f t="shared" si="396"/>
        <v>theater</v>
      </c>
      <c r="R3346" t="str">
        <f t="shared" si="397"/>
        <v>plays</v>
      </c>
      <c r="S3346" s="9">
        <f t="shared" si="394"/>
        <v>41850.991817129623</v>
      </c>
      <c r="T3346" s="9">
        <f t="shared" si="395"/>
        <v>41880.991817129623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92"/>
        <v>1.3</v>
      </c>
      <c r="P3347">
        <f t="shared" si="393"/>
        <v>575</v>
      </c>
      <c r="Q3347" t="str">
        <f t="shared" si="396"/>
        <v>theater</v>
      </c>
      <c r="R3347" t="str">
        <f t="shared" si="397"/>
        <v>plays</v>
      </c>
      <c r="S3347" s="9">
        <f t="shared" si="394"/>
        <v>42052.897777777776</v>
      </c>
      <c r="T3347" s="9">
        <f t="shared" si="395"/>
        <v>42111.817361111105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92"/>
        <v>1.1000000000000001</v>
      </c>
      <c r="P3348">
        <f t="shared" si="393"/>
        <v>1575</v>
      </c>
      <c r="Q3348" t="str">
        <f t="shared" si="396"/>
        <v>theater</v>
      </c>
      <c r="R3348" t="str">
        <f t="shared" si="397"/>
        <v>plays</v>
      </c>
      <c r="S3348" s="9">
        <f t="shared" si="394"/>
        <v>42053.816087962965</v>
      </c>
      <c r="T3348" s="9">
        <f t="shared" si="395"/>
        <v>42060.816087962965</v>
      </c>
    </row>
    <row r="3349" spans="1:20" ht="43.5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92"/>
        <v>1.1944999999999999</v>
      </c>
      <c r="P3349">
        <f t="shared" si="393"/>
        <v>2194.5</v>
      </c>
      <c r="Q3349" t="str">
        <f t="shared" si="396"/>
        <v>theater</v>
      </c>
      <c r="R3349" t="str">
        <f t="shared" si="397"/>
        <v>plays</v>
      </c>
      <c r="S3349" s="9">
        <f t="shared" si="394"/>
        <v>42484.343217592592</v>
      </c>
      <c r="T3349" s="9">
        <f t="shared" si="395"/>
        <v>42498.666666666664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92"/>
        <v>1.002909090909091</v>
      </c>
      <c r="P3350">
        <f t="shared" si="393"/>
        <v>5508</v>
      </c>
      <c r="Q3350" t="str">
        <f t="shared" si="396"/>
        <v>theater</v>
      </c>
      <c r="R3350" t="str">
        <f t="shared" si="397"/>
        <v>plays</v>
      </c>
      <c r="S3350" s="9">
        <f t="shared" si="394"/>
        <v>42466.350462962961</v>
      </c>
      <c r="T3350" s="9">
        <f t="shared" si="395"/>
        <v>42489.957638888889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92"/>
        <v>1.534</v>
      </c>
      <c r="P3351">
        <f t="shared" si="393"/>
        <v>1267</v>
      </c>
      <c r="Q3351" t="str">
        <f t="shared" si="396"/>
        <v>theater</v>
      </c>
      <c r="R3351" t="str">
        <f t="shared" si="397"/>
        <v>plays</v>
      </c>
      <c r="S3351" s="9">
        <f t="shared" si="394"/>
        <v>42512.902453703697</v>
      </c>
      <c r="T3351" s="9">
        <f t="shared" si="395"/>
        <v>42534.499999999993</v>
      </c>
    </row>
    <row r="3352" spans="1:20" ht="43.5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92"/>
        <v>1.0442857142857143</v>
      </c>
      <c r="P3352">
        <f t="shared" si="393"/>
        <v>3577.5</v>
      </c>
      <c r="Q3352" t="str">
        <f t="shared" si="396"/>
        <v>theater</v>
      </c>
      <c r="R3352" t="str">
        <f t="shared" si="397"/>
        <v>plays</v>
      </c>
      <c r="S3352" s="9">
        <f t="shared" si="394"/>
        <v>42302.493182870363</v>
      </c>
      <c r="T3352" s="9">
        <f t="shared" si="395"/>
        <v>42337.749999999993</v>
      </c>
    </row>
    <row r="3353" spans="1:20" ht="43.5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92"/>
        <v>1.0109999999999999</v>
      </c>
      <c r="P3353">
        <f t="shared" si="393"/>
        <v>5027.5</v>
      </c>
      <c r="Q3353" t="str">
        <f t="shared" si="396"/>
        <v>theater</v>
      </c>
      <c r="R3353" t="str">
        <f t="shared" si="397"/>
        <v>plays</v>
      </c>
      <c r="S3353" s="9">
        <f t="shared" si="394"/>
        <v>41806.187094907407</v>
      </c>
      <c r="T3353" s="9">
        <f t="shared" si="395"/>
        <v>41843.25</v>
      </c>
    </row>
    <row r="3354" spans="1:20" ht="43.5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92"/>
        <v>1.0751999999999999</v>
      </c>
      <c r="P3354">
        <f t="shared" si="393"/>
        <v>5188</v>
      </c>
      <c r="Q3354" t="str">
        <f t="shared" si="396"/>
        <v>theater</v>
      </c>
      <c r="R3354" t="str">
        <f t="shared" si="397"/>
        <v>plays</v>
      </c>
      <c r="S3354" s="9">
        <f t="shared" si="394"/>
        <v>42495.784467592595</v>
      </c>
      <c r="T3354" s="9">
        <f t="shared" si="395"/>
        <v>42552.749999999993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92"/>
        <v>3.15</v>
      </c>
      <c r="P3355">
        <f t="shared" si="393"/>
        <v>1037.5</v>
      </c>
      <c r="Q3355" t="str">
        <f t="shared" si="396"/>
        <v>theater</v>
      </c>
      <c r="R3355" t="str">
        <f t="shared" si="397"/>
        <v>plays</v>
      </c>
      <c r="S3355" s="9">
        <f t="shared" si="394"/>
        <v>42479.223958333336</v>
      </c>
      <c r="T3355" s="9">
        <f t="shared" si="395"/>
        <v>42492.749999999993</v>
      </c>
    </row>
    <row r="3356" spans="1:20" ht="29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92"/>
        <v>1.0193333333333334</v>
      </c>
      <c r="P3356">
        <f t="shared" si="393"/>
        <v>3029</v>
      </c>
      <c r="Q3356" t="str">
        <f t="shared" si="396"/>
        <v>theater</v>
      </c>
      <c r="R3356" t="str">
        <f t="shared" si="397"/>
        <v>plays</v>
      </c>
      <c r="S3356" s="9">
        <f t="shared" si="394"/>
        <v>42270.518587962964</v>
      </c>
      <c r="T3356" s="9">
        <f t="shared" si="395"/>
        <v>42305.959027777775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92"/>
        <v>1.2628571428571429</v>
      </c>
      <c r="P3357">
        <f t="shared" si="393"/>
        <v>1980</v>
      </c>
      <c r="Q3357" t="str">
        <f t="shared" si="396"/>
        <v>theater</v>
      </c>
      <c r="R3357" t="str">
        <f t="shared" si="397"/>
        <v>plays</v>
      </c>
      <c r="S3357" s="9">
        <f t="shared" si="394"/>
        <v>42489.411192129628</v>
      </c>
      <c r="T3357" s="9">
        <f t="shared" si="395"/>
        <v>42500.261805555558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92"/>
        <v>1.014</v>
      </c>
      <c r="P3358">
        <f t="shared" si="393"/>
        <v>1510.5</v>
      </c>
      <c r="Q3358" t="str">
        <f t="shared" si="396"/>
        <v>theater</v>
      </c>
      <c r="R3358" t="str">
        <f t="shared" si="397"/>
        <v>plays</v>
      </c>
      <c r="S3358" s="9">
        <f t="shared" si="394"/>
        <v>42536.607314814813</v>
      </c>
      <c r="T3358" s="9">
        <f t="shared" si="395"/>
        <v>42566.607314814813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92"/>
        <v>1.01</v>
      </c>
      <c r="P3359">
        <f t="shared" si="393"/>
        <v>2010</v>
      </c>
      <c r="Q3359" t="str">
        <f t="shared" si="396"/>
        <v>theater</v>
      </c>
      <c r="R3359" t="str">
        <f t="shared" si="397"/>
        <v>plays</v>
      </c>
      <c r="S3359" s="9">
        <f t="shared" si="394"/>
        <v>41822.209606481476</v>
      </c>
      <c r="T3359" s="9">
        <f t="shared" si="395"/>
        <v>41852.209606481476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92"/>
        <v>1.0299</v>
      </c>
      <c r="P3360">
        <f t="shared" si="393"/>
        <v>10149.5</v>
      </c>
      <c r="Q3360" t="str">
        <f t="shared" si="396"/>
        <v>theater</v>
      </c>
      <c r="R3360" t="str">
        <f t="shared" si="397"/>
        <v>plays</v>
      </c>
      <c r="S3360" s="9">
        <f t="shared" si="394"/>
        <v>41932.102766203701</v>
      </c>
      <c r="T3360" s="9">
        <f t="shared" si="395"/>
        <v>41962.144432870373</v>
      </c>
    </row>
    <row r="3361" spans="1:20" ht="29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92"/>
        <v>1.0625</v>
      </c>
      <c r="P3361">
        <f t="shared" si="393"/>
        <v>4125</v>
      </c>
      <c r="Q3361" t="str">
        <f t="shared" si="396"/>
        <v>theater</v>
      </c>
      <c r="R3361" t="str">
        <f t="shared" si="397"/>
        <v>plays</v>
      </c>
      <c r="S3361" s="9">
        <f t="shared" si="394"/>
        <v>42745.848773148151</v>
      </c>
      <c r="T3361" s="9">
        <f t="shared" si="395"/>
        <v>42790.848773148151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92"/>
        <v>1.0137777777777779</v>
      </c>
      <c r="P3362">
        <f t="shared" si="393"/>
        <v>9062</v>
      </c>
      <c r="Q3362" t="str">
        <f t="shared" si="396"/>
        <v>theater</v>
      </c>
      <c r="R3362" t="str">
        <f t="shared" si="397"/>
        <v>plays</v>
      </c>
      <c r="S3362" s="9">
        <f t="shared" si="394"/>
        <v>42696.874340277776</v>
      </c>
      <c r="T3362" s="9">
        <f t="shared" si="395"/>
        <v>42718.457638888889</v>
      </c>
    </row>
    <row r="3363" spans="1:20" ht="43.5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92"/>
        <v>1.1346000000000001</v>
      </c>
      <c r="P3363">
        <f t="shared" si="393"/>
        <v>5336.5</v>
      </c>
      <c r="Q3363" t="str">
        <f t="shared" si="396"/>
        <v>theater</v>
      </c>
      <c r="R3363" t="str">
        <f t="shared" si="397"/>
        <v>plays</v>
      </c>
      <c r="S3363" s="9">
        <f t="shared" si="394"/>
        <v>41865.817013888889</v>
      </c>
      <c r="T3363" s="9">
        <f t="shared" si="395"/>
        <v>41883.457638888889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92"/>
        <v>2.1800000000000002</v>
      </c>
      <c r="P3364">
        <f t="shared" si="393"/>
        <v>795</v>
      </c>
      <c r="Q3364" t="str">
        <f t="shared" si="396"/>
        <v>theater</v>
      </c>
      <c r="R3364" t="str">
        <f t="shared" si="397"/>
        <v>plays</v>
      </c>
      <c r="S3364" s="9">
        <f t="shared" si="394"/>
        <v>42055.883298611108</v>
      </c>
      <c r="T3364" s="9">
        <f t="shared" si="395"/>
        <v>42069.996527777774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92"/>
        <v>1.0141935483870967</v>
      </c>
      <c r="P3365">
        <f t="shared" si="393"/>
        <v>7805</v>
      </c>
      <c r="Q3365" t="str">
        <f t="shared" si="396"/>
        <v>theater</v>
      </c>
      <c r="R3365" t="str">
        <f t="shared" si="397"/>
        <v>plays</v>
      </c>
      <c r="S3365" s="9">
        <f t="shared" si="394"/>
        <v>41851.563020833331</v>
      </c>
      <c r="T3365" s="9">
        <f t="shared" si="395"/>
        <v>41870.458333333328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92"/>
        <v>1.0593333333333332</v>
      </c>
      <c r="P3366">
        <f t="shared" si="393"/>
        <v>3089</v>
      </c>
      <c r="Q3366" t="str">
        <f t="shared" si="396"/>
        <v>theater</v>
      </c>
      <c r="R3366" t="str">
        <f t="shared" si="397"/>
        <v>plays</v>
      </c>
      <c r="S3366" s="9">
        <f t="shared" si="394"/>
        <v>42422.769085648142</v>
      </c>
      <c r="T3366" s="9">
        <f t="shared" si="395"/>
        <v>42444.666666666664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92"/>
        <v>1.04</v>
      </c>
      <c r="P3367">
        <f t="shared" si="393"/>
        <v>2550</v>
      </c>
      <c r="Q3367" t="str">
        <f t="shared" si="396"/>
        <v>theater</v>
      </c>
      <c r="R3367" t="str">
        <f t="shared" si="397"/>
        <v>plays</v>
      </c>
      <c r="S3367" s="9">
        <f t="shared" si="394"/>
        <v>42320.893425925919</v>
      </c>
      <c r="T3367" s="9">
        <f t="shared" si="395"/>
        <v>42350.893425925919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92"/>
        <v>2.21</v>
      </c>
      <c r="P3368">
        <f t="shared" si="393"/>
        <v>802.5</v>
      </c>
      <c r="Q3368" t="str">
        <f t="shared" si="396"/>
        <v>theater</v>
      </c>
      <c r="R3368" t="str">
        <f t="shared" si="397"/>
        <v>plays</v>
      </c>
      <c r="S3368" s="9">
        <f t="shared" si="394"/>
        <v>42106.859224537031</v>
      </c>
      <c r="T3368" s="9">
        <f t="shared" si="395"/>
        <v>42136.859224537031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92"/>
        <v>1.1866666666666668</v>
      </c>
      <c r="P3369">
        <f t="shared" si="393"/>
        <v>820</v>
      </c>
      <c r="Q3369" t="str">
        <f t="shared" si="396"/>
        <v>theater</v>
      </c>
      <c r="R3369" t="str">
        <f t="shared" si="397"/>
        <v>plays</v>
      </c>
      <c r="S3369" s="9">
        <f t="shared" si="394"/>
        <v>42192.725624999999</v>
      </c>
      <c r="T3369" s="9">
        <f t="shared" si="395"/>
        <v>42217.725624999999</v>
      </c>
    </row>
    <row r="3370" spans="1:20" ht="29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92"/>
        <v>1.046</v>
      </c>
      <c r="P3370">
        <f t="shared" si="393"/>
        <v>1023</v>
      </c>
      <c r="Q3370" t="str">
        <f t="shared" si="396"/>
        <v>theater</v>
      </c>
      <c r="R3370" t="str">
        <f t="shared" si="397"/>
        <v>plays</v>
      </c>
      <c r="S3370" s="9">
        <f t="shared" si="394"/>
        <v>41968.991423611107</v>
      </c>
      <c r="T3370" s="9">
        <f t="shared" si="395"/>
        <v>42004.999999999993</v>
      </c>
    </row>
    <row r="3371" spans="1:20" ht="29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92"/>
        <v>1.0389999999999999</v>
      </c>
      <c r="P3371">
        <f t="shared" si="393"/>
        <v>5097.5</v>
      </c>
      <c r="Q3371" t="str">
        <f t="shared" si="396"/>
        <v>theater</v>
      </c>
      <c r="R3371" t="str">
        <f t="shared" si="397"/>
        <v>plays</v>
      </c>
      <c r="S3371" s="9">
        <f t="shared" si="394"/>
        <v>42689.833101851851</v>
      </c>
      <c r="T3371" s="9">
        <f t="shared" si="395"/>
        <v>42749.833101851851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92"/>
        <v>1.1773333333333333</v>
      </c>
      <c r="P3372">
        <f t="shared" si="393"/>
        <v>1633</v>
      </c>
      <c r="Q3372" t="str">
        <f t="shared" si="396"/>
        <v>theater</v>
      </c>
      <c r="R3372" t="str">
        <f t="shared" si="397"/>
        <v>plays</v>
      </c>
      <c r="S3372" s="9">
        <f t="shared" si="394"/>
        <v>42690.125983796293</v>
      </c>
      <c r="T3372" s="9">
        <f t="shared" si="395"/>
        <v>42721.124999999993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92"/>
        <v>1.385</v>
      </c>
      <c r="P3373">
        <f t="shared" si="393"/>
        <v>238.5</v>
      </c>
      <c r="Q3373" t="str">
        <f t="shared" si="396"/>
        <v>theater</v>
      </c>
      <c r="R3373" t="str">
        <f t="shared" si="397"/>
        <v>plays</v>
      </c>
      <c r="S3373" s="9">
        <f t="shared" si="394"/>
        <v>42312.666261574072</v>
      </c>
      <c r="T3373" s="9">
        <f t="shared" si="395"/>
        <v>42340.666261574072</v>
      </c>
    </row>
    <row r="3374" spans="1:20" ht="29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92"/>
        <v>1.0349999999999999</v>
      </c>
      <c r="P3374">
        <f t="shared" si="393"/>
        <v>1017.5</v>
      </c>
      <c r="Q3374" t="str">
        <f t="shared" si="396"/>
        <v>theater</v>
      </c>
      <c r="R3374" t="str">
        <f t="shared" si="397"/>
        <v>plays</v>
      </c>
      <c r="S3374" s="9">
        <f t="shared" si="394"/>
        <v>41855.339768518512</v>
      </c>
      <c r="T3374" s="9">
        <f t="shared" si="395"/>
        <v>41875.999305555553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92"/>
        <v>1.0024999999999999</v>
      </c>
      <c r="P3375">
        <f t="shared" si="393"/>
        <v>2002.5</v>
      </c>
      <c r="Q3375" t="str">
        <f t="shared" si="396"/>
        <v>theater</v>
      </c>
      <c r="R3375" t="str">
        <f t="shared" si="397"/>
        <v>plays</v>
      </c>
      <c r="S3375" s="9">
        <f t="shared" si="394"/>
        <v>42179.646296296291</v>
      </c>
      <c r="T3375" s="9">
        <f t="shared" si="395"/>
        <v>42203.458333333336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92"/>
        <v>1.0657142857142856</v>
      </c>
      <c r="P3376">
        <f t="shared" si="393"/>
        <v>3615</v>
      </c>
      <c r="Q3376" t="str">
        <f t="shared" si="396"/>
        <v>theater</v>
      </c>
      <c r="R3376" t="str">
        <f t="shared" si="397"/>
        <v>plays</v>
      </c>
      <c r="S3376" s="9">
        <f t="shared" si="394"/>
        <v>42275.523333333331</v>
      </c>
      <c r="T3376" s="9">
        <f t="shared" si="395"/>
        <v>42305.523333333331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92"/>
        <v>1</v>
      </c>
      <c r="P3377">
        <f t="shared" si="393"/>
        <v>3000</v>
      </c>
      <c r="Q3377" t="str">
        <f t="shared" si="396"/>
        <v>theater</v>
      </c>
      <c r="R3377" t="str">
        <f t="shared" si="397"/>
        <v>plays</v>
      </c>
      <c r="S3377" s="9">
        <f t="shared" si="394"/>
        <v>41765.402465277773</v>
      </c>
      <c r="T3377" s="9">
        <f t="shared" si="395"/>
        <v>41777.402465277773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92"/>
        <v>1.0001249999999999</v>
      </c>
      <c r="P3378">
        <f t="shared" si="393"/>
        <v>8000.5</v>
      </c>
      <c r="Q3378" t="str">
        <f t="shared" si="396"/>
        <v>theater</v>
      </c>
      <c r="R3378" t="str">
        <f t="shared" si="397"/>
        <v>plays</v>
      </c>
      <c r="S3378" s="9">
        <f t="shared" si="394"/>
        <v>42059.492986111109</v>
      </c>
      <c r="T3378" s="9">
        <f t="shared" si="395"/>
        <v>42119.451319444437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92"/>
        <v>1.0105</v>
      </c>
      <c r="P3379">
        <f t="shared" si="393"/>
        <v>8042</v>
      </c>
      <c r="Q3379" t="str">
        <f t="shared" si="396"/>
        <v>theater</v>
      </c>
      <c r="R3379" t="str">
        <f t="shared" si="397"/>
        <v>plays</v>
      </c>
      <c r="S3379" s="9">
        <f t="shared" si="394"/>
        <v>42053.524293981478</v>
      </c>
      <c r="T3379" s="9">
        <f t="shared" si="395"/>
        <v>42083.49722222222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92"/>
        <v>1.0763636363636364</v>
      </c>
      <c r="P3380">
        <f t="shared" si="393"/>
        <v>571</v>
      </c>
      <c r="Q3380" t="str">
        <f t="shared" si="396"/>
        <v>theater</v>
      </c>
      <c r="R3380" t="str">
        <f t="shared" si="397"/>
        <v>plays</v>
      </c>
      <c r="S3380" s="9">
        <f t="shared" si="394"/>
        <v>41858.147060185183</v>
      </c>
      <c r="T3380" s="9">
        <f t="shared" si="395"/>
        <v>41882.338888888888</v>
      </c>
    </row>
    <row r="3381" spans="1:20" ht="43.5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92"/>
        <v>1.0365</v>
      </c>
      <c r="P3381">
        <f t="shared" si="393"/>
        <v>2036.5</v>
      </c>
      <c r="Q3381" t="str">
        <f t="shared" si="396"/>
        <v>theater</v>
      </c>
      <c r="R3381" t="str">
        <f t="shared" si="397"/>
        <v>plays</v>
      </c>
      <c r="S3381" s="9">
        <f t="shared" si="394"/>
        <v>42225.305555555555</v>
      </c>
      <c r="T3381" s="9">
        <f t="shared" si="395"/>
        <v>42242.749999999993</v>
      </c>
    </row>
    <row r="3382" spans="1:20" ht="43.5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92"/>
        <v>1.0443333333333333</v>
      </c>
      <c r="P3382">
        <f t="shared" si="393"/>
        <v>3066.5</v>
      </c>
      <c r="Q3382" t="str">
        <f t="shared" si="396"/>
        <v>theater</v>
      </c>
      <c r="R3382" t="str">
        <f t="shared" si="397"/>
        <v>plays</v>
      </c>
      <c r="S3382" s="9">
        <f t="shared" si="394"/>
        <v>41937.745115740741</v>
      </c>
      <c r="T3382" s="9">
        <f t="shared" si="395"/>
        <v>41972.786782407406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92"/>
        <v>1.0225</v>
      </c>
      <c r="P3383">
        <f t="shared" si="393"/>
        <v>4045</v>
      </c>
      <c r="Q3383" t="str">
        <f t="shared" si="396"/>
        <v>theater</v>
      </c>
      <c r="R3383" t="str">
        <f t="shared" si="397"/>
        <v>plays</v>
      </c>
      <c r="S3383" s="9">
        <f t="shared" si="394"/>
        <v>42043.976655092592</v>
      </c>
      <c r="T3383" s="9">
        <f t="shared" si="395"/>
        <v>42073.934988425921</v>
      </c>
    </row>
    <row r="3384" spans="1:20" ht="43.5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92"/>
        <v>1.0074285714285713</v>
      </c>
      <c r="P3384">
        <f t="shared" si="393"/>
        <v>3513</v>
      </c>
      <c r="Q3384" t="str">
        <f t="shared" si="396"/>
        <v>theater</v>
      </c>
      <c r="R3384" t="str">
        <f t="shared" si="397"/>
        <v>plays</v>
      </c>
      <c r="S3384" s="9">
        <f t="shared" si="394"/>
        <v>42559.222870370366</v>
      </c>
      <c r="T3384" s="9">
        <f t="shared" si="395"/>
        <v>42583.749305555553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92"/>
        <v>1.1171428571428572</v>
      </c>
      <c r="P3385">
        <f t="shared" si="393"/>
        <v>1852.5</v>
      </c>
      <c r="Q3385" t="str">
        <f t="shared" si="396"/>
        <v>theater</v>
      </c>
      <c r="R3385" t="str">
        <f t="shared" si="397"/>
        <v>plays</v>
      </c>
      <c r="S3385" s="9">
        <f t="shared" si="394"/>
        <v>42524.574305555558</v>
      </c>
      <c r="T3385" s="9">
        <f t="shared" si="395"/>
        <v>42544.574305555558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92"/>
        <v>1.0001100000000001</v>
      </c>
      <c r="P3386">
        <f t="shared" si="393"/>
        <v>6000.33</v>
      </c>
      <c r="Q3386" t="str">
        <f t="shared" si="396"/>
        <v>theater</v>
      </c>
      <c r="R3386" t="str">
        <f t="shared" si="397"/>
        <v>plays</v>
      </c>
      <c r="S3386" s="9">
        <f t="shared" si="394"/>
        <v>42291.879259259258</v>
      </c>
      <c r="T3386" s="9">
        <f t="shared" si="395"/>
        <v>42328.916666666664</v>
      </c>
    </row>
    <row r="3387" spans="1:20" ht="43.5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92"/>
        <v>1</v>
      </c>
      <c r="P3387">
        <f t="shared" si="393"/>
        <v>2000</v>
      </c>
      <c r="Q3387" t="str">
        <f t="shared" si="396"/>
        <v>theater</v>
      </c>
      <c r="R3387" t="str">
        <f t="shared" si="397"/>
        <v>plays</v>
      </c>
      <c r="S3387" s="9">
        <f t="shared" si="394"/>
        <v>41953.659166666665</v>
      </c>
      <c r="T3387" s="9">
        <f t="shared" si="395"/>
        <v>41983.659166666665</v>
      </c>
    </row>
    <row r="3388" spans="1:20" ht="43.5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92"/>
        <v>1.05</v>
      </c>
      <c r="P3388">
        <f t="shared" si="393"/>
        <v>2050</v>
      </c>
      <c r="Q3388" t="str">
        <f t="shared" si="396"/>
        <v>theater</v>
      </c>
      <c r="R3388" t="str">
        <f t="shared" si="397"/>
        <v>plays</v>
      </c>
      <c r="S3388" s="9">
        <f t="shared" si="394"/>
        <v>41946.436412037037</v>
      </c>
      <c r="T3388" s="9">
        <f t="shared" si="395"/>
        <v>41976.436412037037</v>
      </c>
    </row>
    <row r="3389" spans="1:20" ht="43.5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92"/>
        <v>1.1686666666666667</v>
      </c>
      <c r="P3389">
        <f t="shared" si="393"/>
        <v>3253</v>
      </c>
      <c r="Q3389" t="str">
        <f t="shared" si="396"/>
        <v>theater</v>
      </c>
      <c r="R3389" t="str">
        <f t="shared" si="397"/>
        <v>plays</v>
      </c>
      <c r="S3389" s="9">
        <f t="shared" si="394"/>
        <v>41947.554259259261</v>
      </c>
      <c r="T3389" s="9">
        <f t="shared" si="395"/>
        <v>41987.554259259261</v>
      </c>
    </row>
    <row r="3390" spans="1:20" ht="43.5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92"/>
        <v>1.038</v>
      </c>
      <c r="P3390">
        <f t="shared" si="393"/>
        <v>1528.5</v>
      </c>
      <c r="Q3390" t="str">
        <f t="shared" si="396"/>
        <v>theater</v>
      </c>
      <c r="R3390" t="str">
        <f t="shared" si="397"/>
        <v>plays</v>
      </c>
      <c r="S3390" s="9">
        <f t="shared" si="394"/>
        <v>42143.252789351849</v>
      </c>
      <c r="T3390" s="9">
        <f t="shared" si="395"/>
        <v>42173.252789351849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92"/>
        <v>1.145</v>
      </c>
      <c r="P3391">
        <f t="shared" si="393"/>
        <v>10725</v>
      </c>
      <c r="Q3391" t="str">
        <f t="shared" si="396"/>
        <v>theater</v>
      </c>
      <c r="R3391" t="str">
        <f t="shared" si="397"/>
        <v>plays</v>
      </c>
      <c r="S3391" s="9">
        <f t="shared" si="394"/>
        <v>42494.355115740742</v>
      </c>
      <c r="T3391" s="9">
        <f t="shared" si="395"/>
        <v>42524.355115740742</v>
      </c>
    </row>
    <row r="3392" spans="1:20" ht="43.5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92"/>
        <v>1.024</v>
      </c>
      <c r="P3392">
        <f t="shared" si="393"/>
        <v>1518</v>
      </c>
      <c r="Q3392" t="str">
        <f t="shared" si="396"/>
        <v>theater</v>
      </c>
      <c r="R3392" t="str">
        <f t="shared" si="397"/>
        <v>plays</v>
      </c>
      <c r="S3392" s="9">
        <f t="shared" si="394"/>
        <v>41815.566493055558</v>
      </c>
      <c r="T3392" s="9">
        <f t="shared" si="395"/>
        <v>41830.566493055558</v>
      </c>
    </row>
    <row r="3393" spans="1:20" ht="43.5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92"/>
        <v>2.23</v>
      </c>
      <c r="P3393">
        <f t="shared" si="393"/>
        <v>807.5</v>
      </c>
      <c r="Q3393" t="str">
        <f t="shared" si="396"/>
        <v>theater</v>
      </c>
      <c r="R3393" t="str">
        <f t="shared" si="397"/>
        <v>plays</v>
      </c>
      <c r="S3393" s="9">
        <f t="shared" si="394"/>
        <v>41830.337361111109</v>
      </c>
      <c r="T3393" s="9">
        <f t="shared" si="395"/>
        <v>41859.727777777771</v>
      </c>
    </row>
    <row r="3394" spans="1:20" ht="43.5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92"/>
        <v>1</v>
      </c>
      <c r="P3394">
        <f t="shared" si="393"/>
        <v>500</v>
      </c>
      <c r="Q3394" t="str">
        <f t="shared" si="396"/>
        <v>theater</v>
      </c>
      <c r="R3394" t="str">
        <f t="shared" si="397"/>
        <v>plays</v>
      </c>
      <c r="S3394" s="9">
        <f t="shared" si="394"/>
        <v>42446.63721064815</v>
      </c>
      <c r="T3394" s="9">
        <f t="shared" si="395"/>
        <v>42496.63721064815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98">E3395/D3395</f>
        <v>1.0580000000000001</v>
      </c>
      <c r="P3395">
        <f t="shared" ref="P3395:P3458" si="399">AVERAGE(D3395:E3395)</f>
        <v>1543.5</v>
      </c>
      <c r="Q3395" t="str">
        <f t="shared" si="396"/>
        <v>theater</v>
      </c>
      <c r="R3395" t="str">
        <f t="shared" si="397"/>
        <v>plays</v>
      </c>
      <c r="S3395" s="9">
        <f t="shared" ref="S3395:S3458" si="400">J3395/86400+25569+(-5/24)</f>
        <v>41923.713310185187</v>
      </c>
      <c r="T3395" s="9">
        <f t="shared" si="395"/>
        <v>41948.823611111111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98"/>
        <v>1.4236363636363636</v>
      </c>
      <c r="P3396">
        <f t="shared" si="399"/>
        <v>666.5</v>
      </c>
      <c r="Q3396" t="str">
        <f t="shared" si="396"/>
        <v>theater</v>
      </c>
      <c r="R3396" t="str">
        <f t="shared" si="397"/>
        <v>plays</v>
      </c>
      <c r="S3396" s="9">
        <f t="shared" si="400"/>
        <v>41817.387094907404</v>
      </c>
      <c r="T3396" s="9">
        <f t="shared" ref="T3396:T3459" si="401">I3396/86400+25569+(-5/24)</f>
        <v>41847.387094907404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98"/>
        <v>1.84</v>
      </c>
      <c r="P3397">
        <f t="shared" si="399"/>
        <v>710</v>
      </c>
      <c r="Q3397" t="str">
        <f t="shared" si="396"/>
        <v>theater</v>
      </c>
      <c r="R3397" t="str">
        <f t="shared" si="397"/>
        <v>plays</v>
      </c>
      <c r="S3397" s="9">
        <f t="shared" si="400"/>
        <v>42140.503981481474</v>
      </c>
      <c r="T3397" s="9">
        <f t="shared" si="401"/>
        <v>42154.548611111109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98"/>
        <v>1.0433333333333332</v>
      </c>
      <c r="P3398">
        <f t="shared" si="399"/>
        <v>1532.5</v>
      </c>
      <c r="Q3398" t="str">
        <f t="shared" si="396"/>
        <v>theater</v>
      </c>
      <c r="R3398" t="str">
        <f t="shared" si="397"/>
        <v>plays</v>
      </c>
      <c r="S3398" s="9">
        <f t="shared" si="400"/>
        <v>41764.238298611112</v>
      </c>
      <c r="T3398" s="9">
        <f t="shared" si="401"/>
        <v>41790.957638888889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98"/>
        <v>1.1200000000000001</v>
      </c>
      <c r="P3399">
        <f t="shared" si="399"/>
        <v>265</v>
      </c>
      <c r="Q3399" t="str">
        <f t="shared" si="396"/>
        <v>theater</v>
      </c>
      <c r="R3399" t="str">
        <f t="shared" si="397"/>
        <v>plays</v>
      </c>
      <c r="S3399" s="9">
        <f t="shared" si="400"/>
        <v>42378.270011574066</v>
      </c>
      <c r="T3399" s="9">
        <f t="shared" si="401"/>
        <v>42418.708333333336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98"/>
        <v>1.1107499999999999</v>
      </c>
      <c r="P3400">
        <f t="shared" si="399"/>
        <v>4221.5</v>
      </c>
      <c r="Q3400" t="str">
        <f t="shared" si="396"/>
        <v>theater</v>
      </c>
      <c r="R3400" t="str">
        <f t="shared" si="397"/>
        <v>plays</v>
      </c>
      <c r="S3400" s="9">
        <f t="shared" si="400"/>
        <v>41941.543703703697</v>
      </c>
      <c r="T3400" s="9">
        <f t="shared" si="401"/>
        <v>41964.499999999993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98"/>
        <v>1.0375000000000001</v>
      </c>
      <c r="P3401">
        <f t="shared" si="399"/>
        <v>1222.5</v>
      </c>
      <c r="Q3401" t="str">
        <f t="shared" si="396"/>
        <v>theater</v>
      </c>
      <c r="R3401" t="str">
        <f t="shared" si="397"/>
        <v>plays</v>
      </c>
      <c r="S3401" s="9">
        <f t="shared" si="400"/>
        <v>42026.712094907409</v>
      </c>
      <c r="T3401" s="9">
        <f t="shared" si="401"/>
        <v>42056.712094907409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98"/>
        <v>1.0041</v>
      </c>
      <c r="P3402">
        <f t="shared" si="399"/>
        <v>10020.5</v>
      </c>
      <c r="Q3402" t="str">
        <f t="shared" si="396"/>
        <v>theater</v>
      </c>
      <c r="R3402" t="str">
        <f t="shared" si="397"/>
        <v>plays</v>
      </c>
      <c r="S3402" s="9">
        <f t="shared" si="400"/>
        <v>41834.745532407404</v>
      </c>
      <c r="T3402" s="9">
        <f t="shared" si="401"/>
        <v>41879.745532407404</v>
      </c>
    </row>
    <row r="3403" spans="1:20" ht="43.5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98"/>
        <v>1.0186206896551724</v>
      </c>
      <c r="P3403">
        <f t="shared" si="399"/>
        <v>2927</v>
      </c>
      <c r="Q3403" t="str">
        <f t="shared" ref="Q3403:Q3466" si="402">IF(N3403="theater/plays","theater")</f>
        <v>theater</v>
      </c>
      <c r="R3403" t="str">
        <f t="shared" ref="R3403:R3466" si="403">IF(N3403="theater/plays","plays")</f>
        <v>plays</v>
      </c>
      <c r="S3403" s="9">
        <f t="shared" si="400"/>
        <v>42193.5155787037</v>
      </c>
      <c r="T3403" s="9">
        <f t="shared" si="401"/>
        <v>42223.5155787037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98"/>
        <v>1.0976666666666666</v>
      </c>
      <c r="P3404">
        <f t="shared" si="399"/>
        <v>15732.5</v>
      </c>
      <c r="Q3404" t="str">
        <f t="shared" si="402"/>
        <v>theater</v>
      </c>
      <c r="R3404" t="str">
        <f t="shared" si="403"/>
        <v>plays</v>
      </c>
      <c r="S3404" s="9">
        <f t="shared" si="400"/>
        <v>42290.410219907404</v>
      </c>
      <c r="T3404" s="9">
        <f t="shared" si="401"/>
        <v>42319.896527777775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98"/>
        <v>1</v>
      </c>
      <c r="P3405">
        <f t="shared" si="399"/>
        <v>2000</v>
      </c>
      <c r="Q3405" t="str">
        <f t="shared" si="402"/>
        <v>theater</v>
      </c>
      <c r="R3405" t="str">
        <f t="shared" si="403"/>
        <v>plays</v>
      </c>
      <c r="S3405" s="9">
        <f t="shared" si="400"/>
        <v>42150.253749999996</v>
      </c>
      <c r="T3405" s="9">
        <f t="shared" si="401"/>
        <v>42180.253749999996</v>
      </c>
    </row>
    <row r="3406" spans="1:20" ht="43.5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98"/>
        <v>1.22</v>
      </c>
      <c r="P3406">
        <f t="shared" si="399"/>
        <v>555</v>
      </c>
      <c r="Q3406" t="str">
        <f t="shared" si="402"/>
        <v>theater</v>
      </c>
      <c r="R3406" t="str">
        <f t="shared" si="403"/>
        <v>plays</v>
      </c>
      <c r="S3406" s="9">
        <f t="shared" si="400"/>
        <v>42152.295162037037</v>
      </c>
      <c r="T3406" s="9">
        <f t="shared" si="401"/>
        <v>42172.295162037037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98"/>
        <v>1.3757142857142857</v>
      </c>
      <c r="P3407">
        <f t="shared" si="399"/>
        <v>415.75</v>
      </c>
      <c r="Q3407" t="str">
        <f t="shared" si="402"/>
        <v>theater</v>
      </c>
      <c r="R3407" t="str">
        <f t="shared" si="403"/>
        <v>plays</v>
      </c>
      <c r="S3407" s="9">
        <f t="shared" si="400"/>
        <v>42409.808865740742</v>
      </c>
      <c r="T3407" s="9">
        <f t="shared" si="401"/>
        <v>42430.790972222218</v>
      </c>
    </row>
    <row r="3408" spans="1:20" ht="29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98"/>
        <v>1.0031000000000001</v>
      </c>
      <c r="P3408">
        <f t="shared" si="399"/>
        <v>10015.5</v>
      </c>
      <c r="Q3408" t="str">
        <f t="shared" si="402"/>
        <v>theater</v>
      </c>
      <c r="R3408" t="str">
        <f t="shared" si="403"/>
        <v>plays</v>
      </c>
      <c r="S3408" s="9">
        <f t="shared" si="400"/>
        <v>41791.284444444442</v>
      </c>
      <c r="T3408" s="9">
        <f t="shared" si="401"/>
        <v>41836.284444444442</v>
      </c>
    </row>
    <row r="3409" spans="1:20" ht="43.5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98"/>
        <v>1.071</v>
      </c>
      <c r="P3409">
        <f t="shared" si="399"/>
        <v>2071</v>
      </c>
      <c r="Q3409" t="str">
        <f t="shared" si="402"/>
        <v>theater</v>
      </c>
      <c r="R3409" t="str">
        <f t="shared" si="403"/>
        <v>plays</v>
      </c>
      <c r="S3409" s="9">
        <f t="shared" si="400"/>
        <v>41796.21399305555</v>
      </c>
      <c r="T3409" s="9">
        <f t="shared" si="401"/>
        <v>41826.21399305555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98"/>
        <v>2.11</v>
      </c>
      <c r="P3410">
        <f t="shared" si="399"/>
        <v>777.5</v>
      </c>
      <c r="Q3410" t="str">
        <f t="shared" si="402"/>
        <v>theater</v>
      </c>
      <c r="R3410" t="str">
        <f t="shared" si="403"/>
        <v>plays</v>
      </c>
      <c r="S3410" s="9">
        <f t="shared" si="400"/>
        <v>41808.78361111111</v>
      </c>
      <c r="T3410" s="9">
        <f t="shared" si="401"/>
        <v>41838.78361111111</v>
      </c>
    </row>
    <row r="3411" spans="1:20" ht="29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98"/>
        <v>1.236</v>
      </c>
      <c r="P3411">
        <f t="shared" si="399"/>
        <v>559</v>
      </c>
      <c r="Q3411" t="str">
        <f t="shared" si="402"/>
        <v>theater</v>
      </c>
      <c r="R3411" t="str">
        <f t="shared" si="403"/>
        <v>plays</v>
      </c>
      <c r="S3411" s="9">
        <f t="shared" si="400"/>
        <v>42544.605995370366</v>
      </c>
      <c r="T3411" s="9">
        <f t="shared" si="401"/>
        <v>42582.665277777771</v>
      </c>
    </row>
    <row r="3412" spans="1:20" ht="29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98"/>
        <v>1.085</v>
      </c>
      <c r="P3412">
        <f t="shared" si="399"/>
        <v>3127.5</v>
      </c>
      <c r="Q3412" t="str">
        <f t="shared" si="402"/>
        <v>theater</v>
      </c>
      <c r="R3412" t="str">
        <f t="shared" si="403"/>
        <v>plays</v>
      </c>
      <c r="S3412" s="9">
        <f t="shared" si="400"/>
        <v>42499.83321759259</v>
      </c>
      <c r="T3412" s="9">
        <f t="shared" si="401"/>
        <v>42527.083333333336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98"/>
        <v>1.0356666666666667</v>
      </c>
      <c r="P3413">
        <f t="shared" si="399"/>
        <v>15267.5</v>
      </c>
      <c r="Q3413" t="str">
        <f t="shared" si="402"/>
        <v>theater</v>
      </c>
      <c r="R3413" t="str">
        <f t="shared" si="403"/>
        <v>plays</v>
      </c>
      <c r="S3413" s="9">
        <f t="shared" si="400"/>
        <v>42264.814490740733</v>
      </c>
      <c r="T3413" s="9">
        <f t="shared" si="401"/>
        <v>42284.814490740733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98"/>
        <v>1</v>
      </c>
      <c r="P3414">
        <f t="shared" si="399"/>
        <v>3000</v>
      </c>
      <c r="Q3414" t="str">
        <f t="shared" si="402"/>
        <v>theater</v>
      </c>
      <c r="R3414" t="str">
        <f t="shared" si="403"/>
        <v>plays</v>
      </c>
      <c r="S3414" s="9">
        <f t="shared" si="400"/>
        <v>41879.750717592593</v>
      </c>
      <c r="T3414" s="9">
        <f t="shared" si="401"/>
        <v>41909.750717592593</v>
      </c>
    </row>
    <row r="3415" spans="1:20" ht="43.5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98"/>
        <v>1.3</v>
      </c>
      <c r="P3415">
        <f t="shared" si="399"/>
        <v>575</v>
      </c>
      <c r="Q3415" t="str">
        <f t="shared" si="402"/>
        <v>theater</v>
      </c>
      <c r="R3415" t="str">
        <f t="shared" si="403"/>
        <v>plays</v>
      </c>
      <c r="S3415" s="9">
        <f t="shared" si="400"/>
        <v>42053.524745370371</v>
      </c>
      <c r="T3415" s="9">
        <f t="shared" si="401"/>
        <v>42062.999305555553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98"/>
        <v>1.0349999999999999</v>
      </c>
      <c r="P3416">
        <f t="shared" si="399"/>
        <v>3052.5</v>
      </c>
      <c r="Q3416" t="str">
        <f t="shared" si="402"/>
        <v>theater</v>
      </c>
      <c r="R3416" t="str">
        <f t="shared" si="403"/>
        <v>plays</v>
      </c>
      <c r="S3416" s="9">
        <f t="shared" si="400"/>
        <v>42675.624131944445</v>
      </c>
      <c r="T3416" s="9">
        <f t="shared" si="401"/>
        <v>42705.124305555553</v>
      </c>
    </row>
    <row r="3417" spans="1:20" ht="29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98"/>
        <v>1</v>
      </c>
      <c r="P3417">
        <f t="shared" si="399"/>
        <v>200</v>
      </c>
      <c r="Q3417" t="str">
        <f t="shared" si="402"/>
        <v>theater</v>
      </c>
      <c r="R3417" t="str">
        <f t="shared" si="403"/>
        <v>plays</v>
      </c>
      <c r="S3417" s="9">
        <f t="shared" si="400"/>
        <v>42466.935833333329</v>
      </c>
      <c r="T3417" s="9">
        <f t="shared" si="401"/>
        <v>42477.770833333336</v>
      </c>
    </row>
    <row r="3418" spans="1:20" ht="43.5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98"/>
        <v>1.196</v>
      </c>
      <c r="P3418">
        <f t="shared" si="399"/>
        <v>4392</v>
      </c>
      <c r="Q3418" t="str">
        <f t="shared" si="402"/>
        <v>theater</v>
      </c>
      <c r="R3418" t="str">
        <f t="shared" si="403"/>
        <v>plays</v>
      </c>
      <c r="S3418" s="9">
        <f t="shared" si="400"/>
        <v>42089.204224537032</v>
      </c>
      <c r="T3418" s="9">
        <f t="shared" si="401"/>
        <v>42117.562499999993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98"/>
        <v>1.0000058823529412</v>
      </c>
      <c r="P3419">
        <f t="shared" si="399"/>
        <v>1700.0050000000001</v>
      </c>
      <c r="Q3419" t="str">
        <f t="shared" si="402"/>
        <v>theater</v>
      </c>
      <c r="R3419" t="str">
        <f t="shared" si="403"/>
        <v>plays</v>
      </c>
      <c r="S3419" s="9">
        <f t="shared" si="400"/>
        <v>41894.705416666664</v>
      </c>
      <c r="T3419" s="9">
        <f t="shared" si="401"/>
        <v>41937.821527777771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98"/>
        <v>1.00875</v>
      </c>
      <c r="P3420">
        <f t="shared" si="399"/>
        <v>4017.5</v>
      </c>
      <c r="Q3420" t="str">
        <f t="shared" si="402"/>
        <v>theater</v>
      </c>
      <c r="R3420" t="str">
        <f t="shared" si="403"/>
        <v>plays</v>
      </c>
      <c r="S3420" s="9">
        <f t="shared" si="400"/>
        <v>41752.626238425924</v>
      </c>
      <c r="T3420" s="9">
        <f t="shared" si="401"/>
        <v>41782.626238425924</v>
      </c>
    </row>
    <row r="3421" spans="1:20" ht="43.5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98"/>
        <v>1.0654545454545454</v>
      </c>
      <c r="P3421">
        <f t="shared" si="399"/>
        <v>2840</v>
      </c>
      <c r="Q3421" t="str">
        <f t="shared" si="402"/>
        <v>theater</v>
      </c>
      <c r="R3421" t="str">
        <f t="shared" si="403"/>
        <v>plays</v>
      </c>
      <c r="S3421" s="9">
        <f t="shared" si="400"/>
        <v>42448.613252314812</v>
      </c>
      <c r="T3421" s="9">
        <f t="shared" si="401"/>
        <v>42466.687499999993</v>
      </c>
    </row>
    <row r="3422" spans="1:20" ht="29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98"/>
        <v>1.38</v>
      </c>
      <c r="P3422">
        <f t="shared" si="399"/>
        <v>833</v>
      </c>
      <c r="Q3422" t="str">
        <f t="shared" si="402"/>
        <v>theater</v>
      </c>
      <c r="R3422" t="str">
        <f t="shared" si="403"/>
        <v>plays</v>
      </c>
      <c r="S3422" s="9">
        <f t="shared" si="400"/>
        <v>42404.881967592592</v>
      </c>
      <c r="T3422" s="9">
        <f t="shared" si="401"/>
        <v>42413.791666666664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98"/>
        <v>1.0115000000000001</v>
      </c>
      <c r="P3423">
        <f t="shared" si="399"/>
        <v>10057.5</v>
      </c>
      <c r="Q3423" t="str">
        <f t="shared" si="402"/>
        <v>theater</v>
      </c>
      <c r="R3423" t="str">
        <f t="shared" si="403"/>
        <v>plays</v>
      </c>
      <c r="S3423" s="9">
        <f t="shared" si="400"/>
        <v>42037.582905092589</v>
      </c>
      <c r="T3423" s="9">
        <f t="shared" si="401"/>
        <v>42067.582905092589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98"/>
        <v>1.091</v>
      </c>
      <c r="P3424">
        <f t="shared" si="399"/>
        <v>3136.5</v>
      </c>
      <c r="Q3424" t="str">
        <f t="shared" si="402"/>
        <v>theater</v>
      </c>
      <c r="R3424" t="str">
        <f t="shared" si="403"/>
        <v>plays</v>
      </c>
      <c r="S3424" s="9">
        <f t="shared" si="400"/>
        <v>42323.353888888887</v>
      </c>
      <c r="T3424" s="9">
        <f t="shared" si="401"/>
        <v>42351.791666666664</v>
      </c>
    </row>
    <row r="3425" spans="1:20" ht="29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98"/>
        <v>1.4</v>
      </c>
      <c r="P3425">
        <f t="shared" si="399"/>
        <v>300</v>
      </c>
      <c r="Q3425" t="str">
        <f t="shared" si="402"/>
        <v>theater</v>
      </c>
      <c r="R3425" t="str">
        <f t="shared" si="403"/>
        <v>plays</v>
      </c>
      <c r="S3425" s="9">
        <f t="shared" si="400"/>
        <v>42088.703020833331</v>
      </c>
      <c r="T3425" s="9">
        <f t="shared" si="401"/>
        <v>42118.703020833331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98"/>
        <v>1.0358333333333334</v>
      </c>
      <c r="P3426">
        <f t="shared" si="399"/>
        <v>6107.5</v>
      </c>
      <c r="Q3426" t="str">
        <f t="shared" si="402"/>
        <v>theater</v>
      </c>
      <c r="R3426" t="str">
        <f t="shared" si="403"/>
        <v>plays</v>
      </c>
      <c r="S3426" s="9">
        <f t="shared" si="400"/>
        <v>42018.468564814808</v>
      </c>
      <c r="T3426" s="9">
        <f t="shared" si="401"/>
        <v>42040.082638888889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98"/>
        <v>1.0297033333333332</v>
      </c>
      <c r="P3427">
        <f t="shared" si="399"/>
        <v>30445.55</v>
      </c>
      <c r="Q3427" t="str">
        <f t="shared" si="402"/>
        <v>theater</v>
      </c>
      <c r="R3427" t="str">
        <f t="shared" si="403"/>
        <v>plays</v>
      </c>
      <c r="S3427" s="9">
        <f t="shared" si="400"/>
        <v>41884.40898148148</v>
      </c>
      <c r="T3427" s="9">
        <f t="shared" si="401"/>
        <v>41916.40898148148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98"/>
        <v>1.0813333333333333</v>
      </c>
      <c r="P3428">
        <f t="shared" si="399"/>
        <v>3902.5</v>
      </c>
      <c r="Q3428" t="str">
        <f t="shared" si="402"/>
        <v>theater</v>
      </c>
      <c r="R3428" t="str">
        <f t="shared" si="403"/>
        <v>plays</v>
      </c>
      <c r="S3428" s="9">
        <f t="shared" si="400"/>
        <v>41883.848414351851</v>
      </c>
      <c r="T3428" s="9">
        <f t="shared" si="401"/>
        <v>41902.875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98"/>
        <v>1</v>
      </c>
      <c r="P3429">
        <f t="shared" si="399"/>
        <v>1500</v>
      </c>
      <c r="Q3429" t="str">
        <f t="shared" si="402"/>
        <v>theater</v>
      </c>
      <c r="R3429" t="str">
        <f t="shared" si="403"/>
        <v>plays</v>
      </c>
      <c r="S3429" s="9">
        <f t="shared" si="400"/>
        <v>41792.436944444438</v>
      </c>
      <c r="T3429" s="9">
        <f t="shared" si="401"/>
        <v>41822.436944444438</v>
      </c>
    </row>
    <row r="3430" spans="1:20" ht="43.5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98"/>
        <v>1.0275000000000001</v>
      </c>
      <c r="P3430">
        <f t="shared" si="399"/>
        <v>2027.5</v>
      </c>
      <c r="Q3430" t="str">
        <f t="shared" si="402"/>
        <v>theater</v>
      </c>
      <c r="R3430" t="str">
        <f t="shared" si="403"/>
        <v>plays</v>
      </c>
      <c r="S3430" s="9">
        <f t="shared" si="400"/>
        <v>42038.512118055551</v>
      </c>
      <c r="T3430" s="9">
        <f t="shared" si="401"/>
        <v>42063.499999999993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98"/>
        <v>1.3</v>
      </c>
      <c r="P3431">
        <f t="shared" si="399"/>
        <v>172.5</v>
      </c>
      <c r="Q3431" t="str">
        <f t="shared" si="402"/>
        <v>theater</v>
      </c>
      <c r="R3431" t="str">
        <f t="shared" si="403"/>
        <v>plays</v>
      </c>
      <c r="S3431" s="9">
        <f t="shared" si="400"/>
        <v>42661.813206018516</v>
      </c>
      <c r="T3431" s="9">
        <f t="shared" si="401"/>
        <v>42675.813206018516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98"/>
        <v>1.0854949999999999</v>
      </c>
      <c r="P3432">
        <f t="shared" si="399"/>
        <v>2085.4949999999999</v>
      </c>
      <c r="Q3432" t="str">
        <f t="shared" si="402"/>
        <v>theater</v>
      </c>
      <c r="R3432" t="str">
        <f t="shared" si="403"/>
        <v>plays</v>
      </c>
      <c r="S3432" s="9">
        <f t="shared" si="400"/>
        <v>41820.737280092588</v>
      </c>
      <c r="T3432" s="9">
        <f t="shared" si="401"/>
        <v>41850.737280092588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98"/>
        <v>1</v>
      </c>
      <c r="P3433">
        <f t="shared" si="399"/>
        <v>2000</v>
      </c>
      <c r="Q3433" t="str">
        <f t="shared" si="402"/>
        <v>theater</v>
      </c>
      <c r="R3433" t="str">
        <f t="shared" si="403"/>
        <v>plays</v>
      </c>
      <c r="S3433" s="9">
        <f t="shared" si="400"/>
        <v>41839.522604166668</v>
      </c>
      <c r="T3433" s="9">
        <f t="shared" si="401"/>
        <v>41869.522604166668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98"/>
        <v>1.0965</v>
      </c>
      <c r="P3434">
        <f t="shared" si="399"/>
        <v>2096.5</v>
      </c>
      <c r="Q3434" t="str">
        <f t="shared" si="402"/>
        <v>theater</v>
      </c>
      <c r="R3434" t="str">
        <f t="shared" si="403"/>
        <v>plays</v>
      </c>
      <c r="S3434" s="9">
        <f t="shared" si="400"/>
        <v>42380.372847222221</v>
      </c>
      <c r="T3434" s="9">
        <f t="shared" si="401"/>
        <v>42405.708333333336</v>
      </c>
    </row>
    <row r="3435" spans="1:20" ht="29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98"/>
        <v>1.0026315789473683</v>
      </c>
      <c r="P3435">
        <f t="shared" si="399"/>
        <v>9512.5</v>
      </c>
      <c r="Q3435" t="str">
        <f t="shared" si="402"/>
        <v>theater</v>
      </c>
      <c r="R3435" t="str">
        <f t="shared" si="403"/>
        <v>plays</v>
      </c>
      <c r="S3435" s="9">
        <f t="shared" si="400"/>
        <v>41775.854803240734</v>
      </c>
      <c r="T3435" s="9">
        <f t="shared" si="401"/>
        <v>41806.916666666664</v>
      </c>
    </row>
    <row r="3436" spans="1:20" ht="43.5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98"/>
        <v>1.0555000000000001</v>
      </c>
      <c r="P3436">
        <f t="shared" si="399"/>
        <v>10277.5</v>
      </c>
      <c r="Q3436" t="str">
        <f t="shared" si="402"/>
        <v>theater</v>
      </c>
      <c r="R3436" t="str">
        <f t="shared" si="403"/>
        <v>plays</v>
      </c>
      <c r="S3436" s="9">
        <f t="shared" si="400"/>
        <v>41800.172094907401</v>
      </c>
      <c r="T3436" s="9">
        <f t="shared" si="401"/>
        <v>41830.172094907401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98"/>
        <v>1.1200000000000001</v>
      </c>
      <c r="P3437">
        <f t="shared" si="399"/>
        <v>1060</v>
      </c>
      <c r="Q3437" t="str">
        <f t="shared" si="402"/>
        <v>theater</v>
      </c>
      <c r="R3437" t="str">
        <f t="shared" si="403"/>
        <v>plays</v>
      </c>
      <c r="S3437" s="9">
        <f t="shared" si="400"/>
        <v>42572.408483796295</v>
      </c>
      <c r="T3437" s="9">
        <f t="shared" si="401"/>
        <v>42588.916666666664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98"/>
        <v>1.0589999999999999</v>
      </c>
      <c r="P3438">
        <f t="shared" si="399"/>
        <v>5147.5</v>
      </c>
      <c r="Q3438" t="str">
        <f t="shared" si="402"/>
        <v>theater</v>
      </c>
      <c r="R3438" t="str">
        <f t="shared" si="403"/>
        <v>plays</v>
      </c>
      <c r="S3438" s="9">
        <f t="shared" si="400"/>
        <v>41851.333252314813</v>
      </c>
      <c r="T3438" s="9">
        <f t="shared" si="401"/>
        <v>41872.477777777771</v>
      </c>
    </row>
    <row r="3439" spans="1:20" ht="43.5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98"/>
        <v>1.01</v>
      </c>
      <c r="P3439">
        <f t="shared" si="399"/>
        <v>3015</v>
      </c>
      <c r="Q3439" t="str">
        <f t="shared" si="402"/>
        <v>theater</v>
      </c>
      <c r="R3439" t="str">
        <f t="shared" si="403"/>
        <v>plays</v>
      </c>
      <c r="S3439" s="9">
        <f t="shared" si="400"/>
        <v>42205.502546296295</v>
      </c>
      <c r="T3439" s="9">
        <f t="shared" si="401"/>
        <v>42235.502546296295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98"/>
        <v>1.042</v>
      </c>
      <c r="P3440">
        <f t="shared" si="399"/>
        <v>2552.5</v>
      </c>
      <c r="Q3440" t="str">
        <f t="shared" si="402"/>
        <v>theater</v>
      </c>
      <c r="R3440" t="str">
        <f t="shared" si="403"/>
        <v>plays</v>
      </c>
      <c r="S3440" s="9">
        <f t="shared" si="400"/>
        <v>42100.719525462962</v>
      </c>
      <c r="T3440" s="9">
        <f t="shared" si="401"/>
        <v>42126.666666666664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98"/>
        <v>1.3467833333333334</v>
      </c>
      <c r="P3441">
        <f t="shared" si="399"/>
        <v>1408.0700000000002</v>
      </c>
      <c r="Q3441" t="str">
        <f t="shared" si="402"/>
        <v>theater</v>
      </c>
      <c r="R3441" t="str">
        <f t="shared" si="403"/>
        <v>plays</v>
      </c>
      <c r="S3441" s="9">
        <f t="shared" si="400"/>
        <v>42374.702893518515</v>
      </c>
      <c r="T3441" s="9">
        <f t="shared" si="401"/>
        <v>42387.999305555553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98"/>
        <v>1.052184</v>
      </c>
      <c r="P3442">
        <f t="shared" si="399"/>
        <v>5130.46</v>
      </c>
      <c r="Q3442" t="str">
        <f t="shared" si="402"/>
        <v>theater</v>
      </c>
      <c r="R3442" t="str">
        <f t="shared" si="403"/>
        <v>plays</v>
      </c>
      <c r="S3442" s="9">
        <f t="shared" si="400"/>
        <v>41808.914675925924</v>
      </c>
      <c r="T3442" s="9">
        <f t="shared" si="401"/>
        <v>41831.46875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98"/>
        <v>1.026</v>
      </c>
      <c r="P3443">
        <f t="shared" si="399"/>
        <v>2532.5</v>
      </c>
      <c r="Q3443" t="str">
        <f t="shared" si="402"/>
        <v>theater</v>
      </c>
      <c r="R3443" t="str">
        <f t="shared" si="403"/>
        <v>plays</v>
      </c>
      <c r="S3443" s="9">
        <f t="shared" si="400"/>
        <v>42294.221307870372</v>
      </c>
      <c r="T3443" s="9">
        <f t="shared" si="401"/>
        <v>42321.636805555558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98"/>
        <v>1</v>
      </c>
      <c r="P3444">
        <f t="shared" si="399"/>
        <v>250</v>
      </c>
      <c r="Q3444" t="str">
        <f t="shared" si="402"/>
        <v>theater</v>
      </c>
      <c r="R3444" t="str">
        <f t="shared" si="403"/>
        <v>plays</v>
      </c>
      <c r="S3444" s="9">
        <f t="shared" si="400"/>
        <v>42124.632777777777</v>
      </c>
      <c r="T3444" s="9">
        <f t="shared" si="401"/>
        <v>42154.632777777777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98"/>
        <v>1.855</v>
      </c>
      <c r="P3445">
        <f t="shared" si="399"/>
        <v>1427.5</v>
      </c>
      <c r="Q3445" t="str">
        <f t="shared" si="402"/>
        <v>theater</v>
      </c>
      <c r="R3445" t="str">
        <f t="shared" si="403"/>
        <v>plays</v>
      </c>
      <c r="S3445" s="9">
        <f t="shared" si="400"/>
        <v>41861.316504629627</v>
      </c>
      <c r="T3445" s="9">
        <f t="shared" si="401"/>
        <v>41891.316504629627</v>
      </c>
    </row>
    <row r="3446" spans="1:20" ht="43.5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98"/>
        <v>2.89</v>
      </c>
      <c r="P3446">
        <f t="shared" si="399"/>
        <v>583.5</v>
      </c>
      <c r="Q3446" t="str">
        <f t="shared" si="402"/>
        <v>theater</v>
      </c>
      <c r="R3446" t="str">
        <f t="shared" si="403"/>
        <v>plays</v>
      </c>
      <c r="S3446" s="9">
        <f t="shared" si="400"/>
        <v>42521.08317129629</v>
      </c>
      <c r="T3446" s="9">
        <f t="shared" si="401"/>
        <v>42529.374305555553</v>
      </c>
    </row>
    <row r="3447" spans="1:20" ht="29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98"/>
        <v>1</v>
      </c>
      <c r="P3447">
        <f t="shared" si="399"/>
        <v>2000</v>
      </c>
      <c r="Q3447" t="str">
        <f t="shared" si="402"/>
        <v>theater</v>
      </c>
      <c r="R3447" t="str">
        <f t="shared" si="403"/>
        <v>plays</v>
      </c>
      <c r="S3447" s="9">
        <f t="shared" si="400"/>
        <v>42272.322175925925</v>
      </c>
      <c r="T3447" s="9">
        <f t="shared" si="401"/>
        <v>42300.322175925925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98"/>
        <v>1.0820000000000001</v>
      </c>
      <c r="P3448">
        <f t="shared" si="399"/>
        <v>1041</v>
      </c>
      <c r="Q3448" t="str">
        <f t="shared" si="402"/>
        <v>theater</v>
      </c>
      <c r="R3448" t="str">
        <f t="shared" si="403"/>
        <v>plays</v>
      </c>
      <c r="S3448" s="9">
        <f t="shared" si="400"/>
        <v>42016.624131944445</v>
      </c>
      <c r="T3448" s="9">
        <f t="shared" si="401"/>
        <v>42040.305555555555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98"/>
        <v>1.0780000000000001</v>
      </c>
      <c r="P3449">
        <f t="shared" si="399"/>
        <v>1039</v>
      </c>
      <c r="Q3449" t="str">
        <f t="shared" si="402"/>
        <v>theater</v>
      </c>
      <c r="R3449" t="str">
        <f t="shared" si="403"/>
        <v>plays</v>
      </c>
      <c r="S3449" s="9">
        <f t="shared" si="400"/>
        <v>42402.680694444447</v>
      </c>
      <c r="T3449" s="9">
        <f t="shared" si="401"/>
        <v>42447.639027777775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98"/>
        <v>1.0976190476190477</v>
      </c>
      <c r="P3450">
        <f t="shared" si="399"/>
        <v>2202.5</v>
      </c>
      <c r="Q3450" t="str">
        <f t="shared" si="402"/>
        <v>theater</v>
      </c>
      <c r="R3450" t="str">
        <f t="shared" si="403"/>
        <v>plays</v>
      </c>
      <c r="S3450" s="9">
        <f t="shared" si="400"/>
        <v>41959.910752314812</v>
      </c>
      <c r="T3450" s="9">
        <f t="shared" si="401"/>
        <v>41989.910752314812</v>
      </c>
    </row>
    <row r="3451" spans="1:20" ht="29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98"/>
        <v>1.70625</v>
      </c>
      <c r="P3451">
        <f t="shared" si="399"/>
        <v>1082.5</v>
      </c>
      <c r="Q3451" t="str">
        <f t="shared" si="402"/>
        <v>theater</v>
      </c>
      <c r="R3451" t="str">
        <f t="shared" si="403"/>
        <v>plays</v>
      </c>
      <c r="S3451" s="9">
        <f t="shared" si="400"/>
        <v>42531.844189814808</v>
      </c>
      <c r="T3451" s="9">
        <f t="shared" si="401"/>
        <v>42559.958333333336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98"/>
        <v>1.52</v>
      </c>
      <c r="P3452">
        <f t="shared" si="399"/>
        <v>630</v>
      </c>
      <c r="Q3452" t="str">
        <f t="shared" si="402"/>
        <v>theater</v>
      </c>
      <c r="R3452" t="str">
        <f t="shared" si="403"/>
        <v>plays</v>
      </c>
      <c r="S3452" s="9">
        <f t="shared" si="400"/>
        <v>42036.496192129627</v>
      </c>
      <c r="T3452" s="9">
        <f t="shared" si="401"/>
        <v>42096.454525462956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98"/>
        <v>1.0123076923076924</v>
      </c>
      <c r="P3453">
        <f t="shared" si="399"/>
        <v>654</v>
      </c>
      <c r="Q3453" t="str">
        <f t="shared" si="402"/>
        <v>theater</v>
      </c>
      <c r="R3453" t="str">
        <f t="shared" si="403"/>
        <v>plays</v>
      </c>
      <c r="S3453" s="9">
        <f t="shared" si="400"/>
        <v>42088.515358796292</v>
      </c>
      <c r="T3453" s="9">
        <f t="shared" si="401"/>
        <v>42115.515358796292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98"/>
        <v>1.532</v>
      </c>
      <c r="P3454">
        <f t="shared" si="399"/>
        <v>1266</v>
      </c>
      <c r="Q3454" t="str">
        <f t="shared" si="402"/>
        <v>theater</v>
      </c>
      <c r="R3454" t="str">
        <f t="shared" si="403"/>
        <v>plays</v>
      </c>
      <c r="S3454" s="9">
        <f t="shared" si="400"/>
        <v>41820.430856481478</v>
      </c>
      <c r="T3454" s="9">
        <f t="shared" si="401"/>
        <v>41842.957638888889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98"/>
        <v>1.2833333333333334</v>
      </c>
      <c r="P3455">
        <f t="shared" si="399"/>
        <v>342.5</v>
      </c>
      <c r="Q3455" t="str">
        <f t="shared" si="402"/>
        <v>theater</v>
      </c>
      <c r="R3455" t="str">
        <f t="shared" si="403"/>
        <v>plays</v>
      </c>
      <c r="S3455" s="9">
        <f t="shared" si="400"/>
        <v>42535.770324074074</v>
      </c>
      <c r="T3455" s="9">
        <f t="shared" si="401"/>
        <v>42595.770324074074</v>
      </c>
    </row>
    <row r="3456" spans="1:20" ht="43.5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98"/>
        <v>1.0071428571428571</v>
      </c>
      <c r="P3456">
        <f t="shared" si="399"/>
        <v>702.5</v>
      </c>
      <c r="Q3456" t="str">
        <f t="shared" si="402"/>
        <v>theater</v>
      </c>
      <c r="R3456" t="str">
        <f t="shared" si="403"/>
        <v>plays</v>
      </c>
      <c r="S3456" s="9">
        <f t="shared" si="400"/>
        <v>41821.490266203698</v>
      </c>
      <c r="T3456" s="9">
        <f t="shared" si="401"/>
        <v>41851.490266203698</v>
      </c>
    </row>
    <row r="3457" spans="1:20" ht="43.5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98"/>
        <v>1.0065</v>
      </c>
      <c r="P3457">
        <f t="shared" si="399"/>
        <v>10032.5</v>
      </c>
      <c r="Q3457" t="str">
        <f t="shared" si="402"/>
        <v>theater</v>
      </c>
      <c r="R3457" t="str">
        <f t="shared" si="403"/>
        <v>plays</v>
      </c>
      <c r="S3457" s="9">
        <f t="shared" si="400"/>
        <v>42626.541979166665</v>
      </c>
      <c r="T3457" s="9">
        <f t="shared" si="401"/>
        <v>42656.541979166665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98"/>
        <v>1.913</v>
      </c>
      <c r="P3458">
        <f t="shared" si="399"/>
        <v>4369.5</v>
      </c>
      <c r="Q3458" t="str">
        <f t="shared" si="402"/>
        <v>theater</v>
      </c>
      <c r="R3458" t="str">
        <f t="shared" si="403"/>
        <v>plays</v>
      </c>
      <c r="S3458" s="9">
        <f t="shared" si="400"/>
        <v>41820.997303240736</v>
      </c>
      <c r="T3458" s="9">
        <f t="shared" si="401"/>
        <v>41852.082638888889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404">E3459/D3459</f>
        <v>1.4019999999999999</v>
      </c>
      <c r="P3459">
        <f t="shared" ref="P3459:P3522" si="405">AVERAGE(D3459:E3459)</f>
        <v>2402</v>
      </c>
      <c r="Q3459" t="str">
        <f t="shared" si="402"/>
        <v>theater</v>
      </c>
      <c r="R3459" t="str">
        <f t="shared" si="403"/>
        <v>plays</v>
      </c>
      <c r="S3459" s="9">
        <f t="shared" ref="S3459:S3522" si="406">J3459/86400+25569+(-5/24)</f>
        <v>42016.498344907406</v>
      </c>
      <c r="T3459" s="9">
        <f t="shared" si="401"/>
        <v>42047.040972222218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404"/>
        <v>1.2433537832310839</v>
      </c>
      <c r="P3460">
        <f t="shared" si="405"/>
        <v>1097</v>
      </c>
      <c r="Q3460" t="str">
        <f t="shared" si="402"/>
        <v>theater</v>
      </c>
      <c r="R3460" t="str">
        <f t="shared" si="403"/>
        <v>plays</v>
      </c>
      <c r="S3460" s="9">
        <f t="shared" si="406"/>
        <v>42010.994247685179</v>
      </c>
      <c r="T3460" s="9">
        <f t="shared" ref="T3460:T3523" si="407">I3460/86400+25569+(-5/24)</f>
        <v>42037.977083333331</v>
      </c>
    </row>
    <row r="3461" spans="1:20" ht="43.5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404"/>
        <v>1.262</v>
      </c>
      <c r="P3461">
        <f t="shared" si="405"/>
        <v>565.5</v>
      </c>
      <c r="Q3461" t="str">
        <f t="shared" si="402"/>
        <v>theater</v>
      </c>
      <c r="R3461" t="str">
        <f t="shared" si="403"/>
        <v>plays</v>
      </c>
      <c r="S3461" s="9">
        <f t="shared" si="406"/>
        <v>42480.271527777775</v>
      </c>
      <c r="T3461" s="9">
        <f t="shared" si="407"/>
        <v>42510.271527777775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404"/>
        <v>1.9</v>
      </c>
      <c r="P3462">
        <f t="shared" si="405"/>
        <v>725</v>
      </c>
      <c r="Q3462" t="str">
        <f t="shared" si="402"/>
        <v>theater</v>
      </c>
      <c r="R3462" t="str">
        <f t="shared" si="403"/>
        <v>plays</v>
      </c>
      <c r="S3462" s="9">
        <f t="shared" si="406"/>
        <v>41852.318888888891</v>
      </c>
      <c r="T3462" s="9">
        <f t="shared" si="407"/>
        <v>41866.318888888891</v>
      </c>
    </row>
    <row r="3463" spans="1:20" ht="43.5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404"/>
        <v>1.39</v>
      </c>
      <c r="P3463">
        <f t="shared" si="405"/>
        <v>597.5</v>
      </c>
      <c r="Q3463" t="str">
        <f t="shared" si="402"/>
        <v>theater</v>
      </c>
      <c r="R3463" t="str">
        <f t="shared" si="403"/>
        <v>plays</v>
      </c>
      <c r="S3463" s="9">
        <f t="shared" si="406"/>
        <v>42643.424525462957</v>
      </c>
      <c r="T3463" s="9">
        <f t="shared" si="407"/>
        <v>42671.916666666664</v>
      </c>
    </row>
    <row r="3464" spans="1:20" ht="29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404"/>
        <v>2.02</v>
      </c>
      <c r="P3464">
        <f t="shared" si="405"/>
        <v>377.5</v>
      </c>
      <c r="Q3464" t="str">
        <f t="shared" si="402"/>
        <v>theater</v>
      </c>
      <c r="R3464" t="str">
        <f t="shared" si="403"/>
        <v>plays</v>
      </c>
      <c r="S3464" s="9">
        <f t="shared" si="406"/>
        <v>42179.690138888887</v>
      </c>
      <c r="T3464" s="9">
        <f t="shared" si="407"/>
        <v>42195.541666666664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404"/>
        <v>1.0338000000000001</v>
      </c>
      <c r="P3465">
        <f t="shared" si="405"/>
        <v>10169</v>
      </c>
      <c r="Q3465" t="str">
        <f t="shared" si="402"/>
        <v>theater</v>
      </c>
      <c r="R3465" t="str">
        <f t="shared" si="403"/>
        <v>plays</v>
      </c>
      <c r="S3465" s="9">
        <f t="shared" si="406"/>
        <v>42612.710474537038</v>
      </c>
      <c r="T3465" s="9">
        <f t="shared" si="407"/>
        <v>42653.957638888889</v>
      </c>
    </row>
    <row r="3466" spans="1:20" ht="43.5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404"/>
        <v>1.023236</v>
      </c>
      <c r="P3466">
        <f t="shared" si="405"/>
        <v>5058.09</v>
      </c>
      <c r="Q3466" t="str">
        <f t="shared" si="402"/>
        <v>theater</v>
      </c>
      <c r="R3466" t="str">
        <f t="shared" si="403"/>
        <v>plays</v>
      </c>
      <c r="S3466" s="9">
        <f t="shared" si="406"/>
        <v>42574.921724537031</v>
      </c>
      <c r="T3466" s="9">
        <f t="shared" si="407"/>
        <v>42604.921724537031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404"/>
        <v>1.03</v>
      </c>
      <c r="P3467">
        <f t="shared" si="405"/>
        <v>2030</v>
      </c>
      <c r="Q3467" t="str">
        <f t="shared" ref="Q3467:Q3530" si="408">IF(N3467="theater/plays","theater")</f>
        <v>theater</v>
      </c>
      <c r="R3467" t="str">
        <f t="shared" ref="R3467:R3530" si="409">IF(N3467="theater/plays","plays")</f>
        <v>plays</v>
      </c>
      <c r="S3467" s="9">
        <f t="shared" si="406"/>
        <v>42200.417499999996</v>
      </c>
      <c r="T3467" s="9">
        <f t="shared" si="407"/>
        <v>42225.458333333336</v>
      </c>
    </row>
    <row r="3468" spans="1:20" ht="29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404"/>
        <v>1.2714285714285714</v>
      </c>
      <c r="P3468">
        <f t="shared" si="405"/>
        <v>3975</v>
      </c>
      <c r="Q3468" t="str">
        <f t="shared" si="408"/>
        <v>theater</v>
      </c>
      <c r="R3468" t="str">
        <f t="shared" si="409"/>
        <v>plays</v>
      </c>
      <c r="S3468" s="9">
        <f t="shared" si="406"/>
        <v>42419.810763888883</v>
      </c>
      <c r="T3468" s="9">
        <f t="shared" si="407"/>
        <v>42479.769097222219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404"/>
        <v>1.01</v>
      </c>
      <c r="P3469">
        <f t="shared" si="405"/>
        <v>3015</v>
      </c>
      <c r="Q3469" t="str">
        <f t="shared" si="408"/>
        <v>theater</v>
      </c>
      <c r="R3469" t="str">
        <f t="shared" si="409"/>
        <v>plays</v>
      </c>
      <c r="S3469" s="9">
        <f t="shared" si="406"/>
        <v>42053.463333333326</v>
      </c>
      <c r="T3469" s="9">
        <f t="shared" si="407"/>
        <v>42083.421666666669</v>
      </c>
    </row>
    <row r="3470" spans="1:20" ht="29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404"/>
        <v>1.2178</v>
      </c>
      <c r="P3470">
        <f t="shared" si="405"/>
        <v>11089</v>
      </c>
      <c r="Q3470" t="str">
        <f t="shared" si="408"/>
        <v>theater</v>
      </c>
      <c r="R3470" t="str">
        <f t="shared" si="409"/>
        <v>plays</v>
      </c>
      <c r="S3470" s="9">
        <f t="shared" si="406"/>
        <v>42605.55704861111</v>
      </c>
      <c r="T3470" s="9">
        <f t="shared" si="407"/>
        <v>42633.916666666664</v>
      </c>
    </row>
    <row r="3471" spans="1:20" ht="43.5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404"/>
        <v>1.1339285714285714</v>
      </c>
      <c r="P3471">
        <f t="shared" si="405"/>
        <v>2987.5</v>
      </c>
      <c r="Q3471" t="str">
        <f t="shared" si="408"/>
        <v>theater</v>
      </c>
      <c r="R3471" t="str">
        <f t="shared" si="409"/>
        <v>plays</v>
      </c>
      <c r="S3471" s="9">
        <f t="shared" si="406"/>
        <v>42458.433391203704</v>
      </c>
      <c r="T3471" s="9">
        <f t="shared" si="407"/>
        <v>42488.433391203704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404"/>
        <v>1.5</v>
      </c>
      <c r="P3472">
        <f t="shared" si="405"/>
        <v>312.5</v>
      </c>
      <c r="Q3472" t="str">
        <f t="shared" si="408"/>
        <v>theater</v>
      </c>
      <c r="R3472" t="str">
        <f t="shared" si="409"/>
        <v>plays</v>
      </c>
      <c r="S3472" s="9">
        <f t="shared" si="406"/>
        <v>42528.813680555548</v>
      </c>
      <c r="T3472" s="9">
        <f t="shared" si="407"/>
        <v>42566.693055555552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404"/>
        <v>2.1459999999999999</v>
      </c>
      <c r="P3473">
        <f t="shared" si="405"/>
        <v>786.5</v>
      </c>
      <c r="Q3473" t="str">
        <f t="shared" si="408"/>
        <v>theater</v>
      </c>
      <c r="R3473" t="str">
        <f t="shared" si="409"/>
        <v>plays</v>
      </c>
      <c r="S3473" s="9">
        <f t="shared" si="406"/>
        <v>41841.61215277778</v>
      </c>
      <c r="T3473" s="9">
        <f t="shared" si="407"/>
        <v>41882.625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404"/>
        <v>1.0205</v>
      </c>
      <c r="P3474">
        <f t="shared" si="405"/>
        <v>2020.5</v>
      </c>
      <c r="Q3474" t="str">
        <f t="shared" si="408"/>
        <v>theater</v>
      </c>
      <c r="R3474" t="str">
        <f t="shared" si="409"/>
        <v>plays</v>
      </c>
      <c r="S3474" s="9">
        <f t="shared" si="406"/>
        <v>41927.962164351848</v>
      </c>
      <c r="T3474" s="9">
        <f t="shared" si="407"/>
        <v>41949.040972222218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404"/>
        <v>1</v>
      </c>
      <c r="P3475">
        <f t="shared" si="405"/>
        <v>4900</v>
      </c>
      <c r="Q3475" t="str">
        <f t="shared" si="408"/>
        <v>theater</v>
      </c>
      <c r="R3475" t="str">
        <f t="shared" si="409"/>
        <v>plays</v>
      </c>
      <c r="S3475" s="9">
        <f t="shared" si="406"/>
        <v>42062.626111111109</v>
      </c>
      <c r="T3475" s="9">
        <f t="shared" si="407"/>
        <v>42083.643749999996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404"/>
        <v>1.01</v>
      </c>
      <c r="P3476">
        <f t="shared" si="405"/>
        <v>2010</v>
      </c>
      <c r="Q3476" t="str">
        <f t="shared" si="408"/>
        <v>theater</v>
      </c>
      <c r="R3476" t="str">
        <f t="shared" si="409"/>
        <v>plays</v>
      </c>
      <c r="S3476" s="9">
        <f t="shared" si="406"/>
        <v>42541.293182870366</v>
      </c>
      <c r="T3476" s="9">
        <f t="shared" si="407"/>
        <v>42571.293182870366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404"/>
        <v>1.1333333333333333</v>
      </c>
      <c r="P3477">
        <f t="shared" si="405"/>
        <v>320</v>
      </c>
      <c r="Q3477" t="str">
        <f t="shared" si="408"/>
        <v>theater</v>
      </c>
      <c r="R3477" t="str">
        <f t="shared" si="409"/>
        <v>plays</v>
      </c>
      <c r="S3477" s="9">
        <f t="shared" si="406"/>
        <v>41918.672499999993</v>
      </c>
      <c r="T3477" s="9">
        <f t="shared" si="407"/>
        <v>41945.791666666664</v>
      </c>
    </row>
    <row r="3478" spans="1:20" ht="43.5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404"/>
        <v>1.04</v>
      </c>
      <c r="P3478">
        <f t="shared" si="405"/>
        <v>306</v>
      </c>
      <c r="Q3478" t="str">
        <f t="shared" si="408"/>
        <v>theater</v>
      </c>
      <c r="R3478" t="str">
        <f t="shared" si="409"/>
        <v>plays</v>
      </c>
      <c r="S3478" s="9">
        <f t="shared" si="406"/>
        <v>41921.071643518517</v>
      </c>
      <c r="T3478" s="9">
        <f t="shared" si="407"/>
        <v>41938.916666666664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404"/>
        <v>1.1533333333333333</v>
      </c>
      <c r="P3479">
        <f t="shared" si="405"/>
        <v>1938</v>
      </c>
      <c r="Q3479" t="str">
        <f t="shared" si="408"/>
        <v>theater</v>
      </c>
      <c r="R3479" t="str">
        <f t="shared" si="409"/>
        <v>plays</v>
      </c>
      <c r="S3479" s="9">
        <f t="shared" si="406"/>
        <v>42128.528275462959</v>
      </c>
      <c r="T3479" s="9">
        <f t="shared" si="407"/>
        <v>42140.916666666664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404"/>
        <v>1.1285000000000001</v>
      </c>
      <c r="P3480">
        <f t="shared" si="405"/>
        <v>2128.5</v>
      </c>
      <c r="Q3480" t="str">
        <f t="shared" si="408"/>
        <v>theater</v>
      </c>
      <c r="R3480" t="str">
        <f t="shared" si="409"/>
        <v>plays</v>
      </c>
      <c r="S3480" s="9">
        <f t="shared" si="406"/>
        <v>42053.708587962959</v>
      </c>
      <c r="T3480" s="9">
        <f t="shared" si="407"/>
        <v>42079.666666666664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404"/>
        <v>1.2786666666666666</v>
      </c>
      <c r="P3481">
        <f t="shared" si="405"/>
        <v>1709</v>
      </c>
      <c r="Q3481" t="str">
        <f t="shared" si="408"/>
        <v>theater</v>
      </c>
      <c r="R3481" t="str">
        <f t="shared" si="409"/>
        <v>plays</v>
      </c>
      <c r="S3481" s="9">
        <f t="shared" si="406"/>
        <v>41781.64675925926</v>
      </c>
      <c r="T3481" s="9">
        <f t="shared" si="407"/>
        <v>41811.64675925926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404"/>
        <v>1.4266666666666667</v>
      </c>
      <c r="P3482">
        <f t="shared" si="405"/>
        <v>1820</v>
      </c>
      <c r="Q3482" t="str">
        <f t="shared" si="408"/>
        <v>theater</v>
      </c>
      <c r="R3482" t="str">
        <f t="shared" si="409"/>
        <v>plays</v>
      </c>
      <c r="S3482" s="9">
        <f t="shared" si="406"/>
        <v>42171.109108796292</v>
      </c>
      <c r="T3482" s="9">
        <f t="shared" si="407"/>
        <v>42195.666666666664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404"/>
        <v>1.1879999999999999</v>
      </c>
      <c r="P3483">
        <f t="shared" si="405"/>
        <v>10940</v>
      </c>
      <c r="Q3483" t="str">
        <f t="shared" si="408"/>
        <v>theater</v>
      </c>
      <c r="R3483" t="str">
        <f t="shared" si="409"/>
        <v>plays</v>
      </c>
      <c r="S3483" s="9">
        <f t="shared" si="406"/>
        <v>41989.039212962962</v>
      </c>
      <c r="T3483" s="9">
        <f t="shared" si="407"/>
        <v>42006.039212962962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404"/>
        <v>1.3833333333333333</v>
      </c>
      <c r="P3484">
        <f t="shared" si="405"/>
        <v>3575</v>
      </c>
      <c r="Q3484" t="str">
        <f t="shared" si="408"/>
        <v>theater</v>
      </c>
      <c r="R3484" t="str">
        <f t="shared" si="409"/>
        <v>plays</v>
      </c>
      <c r="S3484" s="9">
        <f t="shared" si="406"/>
        <v>41796.563263888886</v>
      </c>
      <c r="T3484" s="9">
        <f t="shared" si="407"/>
        <v>41826.563263888886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404"/>
        <v>1.599402985074627</v>
      </c>
      <c r="P3485">
        <f t="shared" si="405"/>
        <v>4354</v>
      </c>
      <c r="Q3485" t="str">
        <f t="shared" si="408"/>
        <v>theater</v>
      </c>
      <c r="R3485" t="str">
        <f t="shared" si="409"/>
        <v>plays</v>
      </c>
      <c r="S3485" s="9">
        <f t="shared" si="406"/>
        <v>41793.460428240738</v>
      </c>
      <c r="T3485" s="9">
        <f t="shared" si="407"/>
        <v>41823.460428240738</v>
      </c>
    </row>
    <row r="3486" spans="1:20" ht="43.5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404"/>
        <v>1.1424000000000001</v>
      </c>
      <c r="P3486">
        <f t="shared" si="405"/>
        <v>2678</v>
      </c>
      <c r="Q3486" t="str">
        <f t="shared" si="408"/>
        <v>theater</v>
      </c>
      <c r="R3486" t="str">
        <f t="shared" si="409"/>
        <v>plays</v>
      </c>
      <c r="S3486" s="9">
        <f t="shared" si="406"/>
        <v>42506.552071759252</v>
      </c>
      <c r="T3486" s="9">
        <f t="shared" si="407"/>
        <v>42536.552071759252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404"/>
        <v>1.0060606060606061</v>
      </c>
      <c r="P3487">
        <f t="shared" si="405"/>
        <v>1655</v>
      </c>
      <c r="Q3487" t="str">
        <f t="shared" si="408"/>
        <v>theater</v>
      </c>
      <c r="R3487" t="str">
        <f t="shared" si="409"/>
        <v>plays</v>
      </c>
      <c r="S3487" s="9">
        <f t="shared" si="406"/>
        <v>42372.484722222223</v>
      </c>
      <c r="T3487" s="9">
        <f t="shared" si="407"/>
        <v>42402.484722222223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404"/>
        <v>1.552</v>
      </c>
      <c r="P3488">
        <f t="shared" si="405"/>
        <v>3828</v>
      </c>
      <c r="Q3488" t="str">
        <f t="shared" si="408"/>
        <v>theater</v>
      </c>
      <c r="R3488" t="str">
        <f t="shared" si="409"/>
        <v>plays</v>
      </c>
      <c r="S3488" s="9">
        <f t="shared" si="406"/>
        <v>42126.666678240734</v>
      </c>
      <c r="T3488" s="9">
        <f t="shared" si="407"/>
        <v>42158.082638888889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404"/>
        <v>1.2775000000000001</v>
      </c>
      <c r="P3489">
        <f t="shared" si="405"/>
        <v>2277.5</v>
      </c>
      <c r="Q3489" t="str">
        <f t="shared" si="408"/>
        <v>theater</v>
      </c>
      <c r="R3489" t="str">
        <f t="shared" si="409"/>
        <v>plays</v>
      </c>
      <c r="S3489" s="9">
        <f t="shared" si="406"/>
        <v>42149.732083333329</v>
      </c>
      <c r="T3489" s="9">
        <f t="shared" si="407"/>
        <v>42179.732083333329</v>
      </c>
    </row>
    <row r="3490" spans="1:20" ht="43.5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404"/>
        <v>1.212</v>
      </c>
      <c r="P3490">
        <f t="shared" si="405"/>
        <v>3318</v>
      </c>
      <c r="Q3490" t="str">
        <f t="shared" si="408"/>
        <v>theater</v>
      </c>
      <c r="R3490" t="str">
        <f t="shared" si="409"/>
        <v>plays</v>
      </c>
      <c r="S3490" s="9">
        <f t="shared" si="406"/>
        <v>42087.55972222222</v>
      </c>
      <c r="T3490" s="9">
        <f t="shared" si="407"/>
        <v>42111.458333333336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404"/>
        <v>1.127</v>
      </c>
      <c r="P3491">
        <f t="shared" si="405"/>
        <v>5317.5</v>
      </c>
      <c r="Q3491" t="str">
        <f t="shared" si="408"/>
        <v>theater</v>
      </c>
      <c r="R3491" t="str">
        <f t="shared" si="409"/>
        <v>plays</v>
      </c>
      <c r="S3491" s="9">
        <f t="shared" si="406"/>
        <v>41753.427442129629</v>
      </c>
      <c r="T3491" s="9">
        <f t="shared" si="407"/>
        <v>41783.666666666664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404"/>
        <v>1.2749999999999999</v>
      </c>
      <c r="P3492">
        <f t="shared" si="405"/>
        <v>1137.5</v>
      </c>
      <c r="Q3492" t="str">
        <f t="shared" si="408"/>
        <v>theater</v>
      </c>
      <c r="R3492" t="str">
        <f t="shared" si="409"/>
        <v>plays</v>
      </c>
      <c r="S3492" s="9">
        <f t="shared" si="406"/>
        <v>42443.594027777777</v>
      </c>
      <c r="T3492" s="9">
        <f t="shared" si="407"/>
        <v>42473.594027777777</v>
      </c>
    </row>
    <row r="3493" spans="1:20" ht="43.5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404"/>
        <v>1.5820000000000001</v>
      </c>
      <c r="P3493">
        <f t="shared" si="405"/>
        <v>645.5</v>
      </c>
      <c r="Q3493" t="str">
        <f t="shared" si="408"/>
        <v>theater</v>
      </c>
      <c r="R3493" t="str">
        <f t="shared" si="409"/>
        <v>plays</v>
      </c>
      <c r="S3493" s="9">
        <f t="shared" si="406"/>
        <v>42121.041481481479</v>
      </c>
      <c r="T3493" s="9">
        <f t="shared" si="407"/>
        <v>42142.041481481479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404"/>
        <v>1.0526894736842105</v>
      </c>
      <c r="P3494">
        <f t="shared" si="405"/>
        <v>3900.1099999999997</v>
      </c>
      <c r="Q3494" t="str">
        <f t="shared" si="408"/>
        <v>theater</v>
      </c>
      <c r="R3494" t="str">
        <f t="shared" si="409"/>
        <v>plays</v>
      </c>
      <c r="S3494" s="9">
        <f t="shared" si="406"/>
        <v>42267.800891203697</v>
      </c>
      <c r="T3494" s="9">
        <f t="shared" si="407"/>
        <v>42302.800891203697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404"/>
        <v>1</v>
      </c>
      <c r="P3495">
        <f t="shared" si="405"/>
        <v>1500</v>
      </c>
      <c r="Q3495" t="str">
        <f t="shared" si="408"/>
        <v>theater</v>
      </c>
      <c r="R3495" t="str">
        <f t="shared" si="409"/>
        <v>plays</v>
      </c>
      <c r="S3495" s="9">
        <f t="shared" si="406"/>
        <v>41848.657824074071</v>
      </c>
      <c r="T3495" s="9">
        <f t="shared" si="407"/>
        <v>41868.007638888885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404"/>
        <v>1</v>
      </c>
      <c r="P3496">
        <f t="shared" si="405"/>
        <v>400</v>
      </c>
      <c r="Q3496" t="str">
        <f t="shared" si="408"/>
        <v>theater</v>
      </c>
      <c r="R3496" t="str">
        <f t="shared" si="409"/>
        <v>plays</v>
      </c>
      <c r="S3496" s="9">
        <f t="shared" si="406"/>
        <v>42689.006655092591</v>
      </c>
      <c r="T3496" s="9">
        <f t="shared" si="407"/>
        <v>42700.041666666664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404"/>
        <v>1.0686</v>
      </c>
      <c r="P3497">
        <f t="shared" si="405"/>
        <v>5171.5</v>
      </c>
      <c r="Q3497" t="str">
        <f t="shared" si="408"/>
        <v>theater</v>
      </c>
      <c r="R3497" t="str">
        <f t="shared" si="409"/>
        <v>plays</v>
      </c>
      <c r="S3497" s="9">
        <f t="shared" si="406"/>
        <v>41915.554502314808</v>
      </c>
      <c r="T3497" s="9">
        <f t="shared" si="407"/>
        <v>41944.512499999997</v>
      </c>
    </row>
    <row r="3498" spans="1:20" ht="43.5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404"/>
        <v>1.244</v>
      </c>
      <c r="P3498">
        <f t="shared" si="405"/>
        <v>3366</v>
      </c>
      <c r="Q3498" t="str">
        <f t="shared" si="408"/>
        <v>theater</v>
      </c>
      <c r="R3498" t="str">
        <f t="shared" si="409"/>
        <v>plays</v>
      </c>
      <c r="S3498" s="9">
        <f t="shared" si="406"/>
        <v>42584.638495370367</v>
      </c>
      <c r="T3498" s="9">
        <f t="shared" si="407"/>
        <v>42624.638495370367</v>
      </c>
    </row>
    <row r="3499" spans="1:20" ht="43.5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404"/>
        <v>1.0870406189555126</v>
      </c>
      <c r="P3499">
        <f t="shared" si="405"/>
        <v>1618.5</v>
      </c>
      <c r="Q3499" t="str">
        <f t="shared" si="408"/>
        <v>theater</v>
      </c>
      <c r="R3499" t="str">
        <f t="shared" si="409"/>
        <v>plays</v>
      </c>
      <c r="S3499" s="9">
        <f t="shared" si="406"/>
        <v>42511.53361111111</v>
      </c>
      <c r="T3499" s="9">
        <f t="shared" si="407"/>
        <v>42523.708333333336</v>
      </c>
    </row>
    <row r="3500" spans="1:20" ht="43.5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404"/>
        <v>1.0242424242424242</v>
      </c>
      <c r="P3500">
        <f t="shared" si="405"/>
        <v>1670</v>
      </c>
      <c r="Q3500" t="str">
        <f t="shared" si="408"/>
        <v>theater</v>
      </c>
      <c r="R3500" t="str">
        <f t="shared" si="409"/>
        <v>plays</v>
      </c>
      <c r="S3500" s="9">
        <f t="shared" si="406"/>
        <v>42458.950277777774</v>
      </c>
      <c r="T3500" s="9">
        <f t="shared" si="407"/>
        <v>42518.697222222218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404"/>
        <v>1.0549999999999999</v>
      </c>
      <c r="P3501">
        <f t="shared" si="405"/>
        <v>2055</v>
      </c>
      <c r="Q3501" t="str">
        <f t="shared" si="408"/>
        <v>theater</v>
      </c>
      <c r="R3501" t="str">
        <f t="shared" si="409"/>
        <v>plays</v>
      </c>
      <c r="S3501" s="9">
        <f t="shared" si="406"/>
        <v>42131.827835648146</v>
      </c>
      <c r="T3501" s="9">
        <f t="shared" si="407"/>
        <v>42186.082638888889</v>
      </c>
    </row>
    <row r="3502" spans="1:20" ht="43.5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404"/>
        <v>1.0629999999999999</v>
      </c>
      <c r="P3502">
        <f t="shared" si="405"/>
        <v>1031.5</v>
      </c>
      <c r="Q3502" t="str">
        <f t="shared" si="408"/>
        <v>theater</v>
      </c>
      <c r="R3502" t="str">
        <f t="shared" si="409"/>
        <v>plays</v>
      </c>
      <c r="S3502" s="9">
        <f t="shared" si="406"/>
        <v>42419.711087962962</v>
      </c>
      <c r="T3502" s="9">
        <f t="shared" si="407"/>
        <v>42435.999305555553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404"/>
        <v>1.0066666666666666</v>
      </c>
      <c r="P3503">
        <f t="shared" si="405"/>
        <v>1505</v>
      </c>
      <c r="Q3503" t="str">
        <f t="shared" si="408"/>
        <v>theater</v>
      </c>
      <c r="R3503" t="str">
        <f t="shared" si="409"/>
        <v>plays</v>
      </c>
      <c r="S3503" s="9">
        <f t="shared" si="406"/>
        <v>42233.555497685178</v>
      </c>
      <c r="T3503" s="9">
        <f t="shared" si="407"/>
        <v>42258.555497685178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404"/>
        <v>1.054</v>
      </c>
      <c r="P3504">
        <f t="shared" si="405"/>
        <v>4108</v>
      </c>
      <c r="Q3504" t="str">
        <f t="shared" si="408"/>
        <v>theater</v>
      </c>
      <c r="R3504" t="str">
        <f t="shared" si="409"/>
        <v>plays</v>
      </c>
      <c r="S3504" s="9">
        <f t="shared" si="406"/>
        <v>42430.631064814814</v>
      </c>
      <c r="T3504" s="9">
        <f t="shared" si="407"/>
        <v>42444.957638888889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404"/>
        <v>1.0755999999999999</v>
      </c>
      <c r="P3505">
        <f t="shared" si="405"/>
        <v>2594.5</v>
      </c>
      <c r="Q3505" t="str">
        <f t="shared" si="408"/>
        <v>theater</v>
      </c>
      <c r="R3505" t="str">
        <f t="shared" si="409"/>
        <v>plays</v>
      </c>
      <c r="S3505" s="9">
        <f t="shared" si="406"/>
        <v>42545.27</v>
      </c>
      <c r="T3505" s="9">
        <f t="shared" si="407"/>
        <v>42575.27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404"/>
        <v>1</v>
      </c>
      <c r="P3506">
        <f t="shared" si="405"/>
        <v>1000</v>
      </c>
      <c r="Q3506" t="str">
        <f t="shared" si="408"/>
        <v>theater</v>
      </c>
      <c r="R3506" t="str">
        <f t="shared" si="409"/>
        <v>plays</v>
      </c>
      <c r="S3506" s="9">
        <f t="shared" si="406"/>
        <v>42297.540405092594</v>
      </c>
      <c r="T3506" s="9">
        <f t="shared" si="407"/>
        <v>42327.582071759258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404"/>
        <v>1.0376000000000001</v>
      </c>
      <c r="P3507">
        <f t="shared" si="405"/>
        <v>2547</v>
      </c>
      <c r="Q3507" t="str">
        <f t="shared" si="408"/>
        <v>theater</v>
      </c>
      <c r="R3507" t="str">
        <f t="shared" si="409"/>
        <v>plays</v>
      </c>
      <c r="S3507" s="9">
        <f t="shared" si="406"/>
        <v>41760.727372685185</v>
      </c>
      <c r="T3507" s="9">
        <f t="shared" si="407"/>
        <v>41771.958333333328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404"/>
        <v>1.0149999999999999</v>
      </c>
      <c r="P3508">
        <f t="shared" si="405"/>
        <v>3022.5</v>
      </c>
      <c r="Q3508" t="str">
        <f t="shared" si="408"/>
        <v>theater</v>
      </c>
      <c r="R3508" t="str">
        <f t="shared" si="409"/>
        <v>plays</v>
      </c>
      <c r="S3508" s="9">
        <f t="shared" si="406"/>
        <v>41829.525925925926</v>
      </c>
      <c r="T3508" s="9">
        <f t="shared" si="407"/>
        <v>41874.525925925926</v>
      </c>
    </row>
    <row r="3509" spans="1:20" ht="29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404"/>
        <v>1.044</v>
      </c>
      <c r="P3509">
        <f t="shared" si="405"/>
        <v>10220</v>
      </c>
      <c r="Q3509" t="str">
        <f t="shared" si="408"/>
        <v>theater</v>
      </c>
      <c r="R3509" t="str">
        <f t="shared" si="409"/>
        <v>plays</v>
      </c>
      <c r="S3509" s="9">
        <f t="shared" si="406"/>
        <v>42491.714548611104</v>
      </c>
      <c r="T3509" s="9">
        <f t="shared" si="407"/>
        <v>42521.714548611104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404"/>
        <v>1.8</v>
      </c>
      <c r="P3510">
        <f t="shared" si="405"/>
        <v>140</v>
      </c>
      <c r="Q3510" t="str">
        <f t="shared" si="408"/>
        <v>theater</v>
      </c>
      <c r="R3510" t="str">
        <f t="shared" si="409"/>
        <v>plays</v>
      </c>
      <c r="S3510" s="9">
        <f t="shared" si="406"/>
        <v>42477.521446759252</v>
      </c>
      <c r="T3510" s="9">
        <f t="shared" si="407"/>
        <v>42500.666666666664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404"/>
        <v>1.0633333333333332</v>
      </c>
      <c r="P3511">
        <f t="shared" si="405"/>
        <v>3095</v>
      </c>
      <c r="Q3511" t="str">
        <f t="shared" si="408"/>
        <v>theater</v>
      </c>
      <c r="R3511" t="str">
        <f t="shared" si="409"/>
        <v>plays</v>
      </c>
      <c r="S3511" s="9">
        <f t="shared" si="406"/>
        <v>41950.651226851849</v>
      </c>
      <c r="T3511" s="9">
        <f t="shared" si="407"/>
        <v>41963.996527777774</v>
      </c>
    </row>
    <row r="3512" spans="1:20" ht="43.5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404"/>
        <v>1.0055555555555555</v>
      </c>
      <c r="P3512">
        <f t="shared" si="405"/>
        <v>902.5</v>
      </c>
      <c r="Q3512" t="str">
        <f t="shared" si="408"/>
        <v>theater</v>
      </c>
      <c r="R3512" t="str">
        <f t="shared" si="409"/>
        <v>plays</v>
      </c>
      <c r="S3512" s="9">
        <f t="shared" si="406"/>
        <v>41802.412569444445</v>
      </c>
      <c r="T3512" s="9">
        <f t="shared" si="407"/>
        <v>41822.412569444445</v>
      </c>
    </row>
    <row r="3513" spans="1:20" ht="29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404"/>
        <v>1.012</v>
      </c>
      <c r="P3513">
        <f t="shared" si="405"/>
        <v>1509</v>
      </c>
      <c r="Q3513" t="str">
        <f t="shared" si="408"/>
        <v>theater</v>
      </c>
      <c r="R3513" t="str">
        <f t="shared" si="409"/>
        <v>plays</v>
      </c>
      <c r="S3513" s="9">
        <f t="shared" si="406"/>
        <v>41927.665451388886</v>
      </c>
      <c r="T3513" s="9">
        <f t="shared" si="407"/>
        <v>41950.5625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404"/>
        <v>1</v>
      </c>
      <c r="P3514">
        <f t="shared" si="405"/>
        <v>1000</v>
      </c>
      <c r="Q3514" t="str">
        <f t="shared" si="408"/>
        <v>theater</v>
      </c>
      <c r="R3514" t="str">
        <f t="shared" si="409"/>
        <v>plays</v>
      </c>
      <c r="S3514" s="9">
        <f t="shared" si="406"/>
        <v>42057.328611111108</v>
      </c>
      <c r="T3514" s="9">
        <f t="shared" si="407"/>
        <v>42117.286944444444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404"/>
        <v>1.1839285714285714</v>
      </c>
      <c r="P3515">
        <f t="shared" si="405"/>
        <v>3057.5</v>
      </c>
      <c r="Q3515" t="str">
        <f t="shared" si="408"/>
        <v>theater</v>
      </c>
      <c r="R3515" t="str">
        <f t="shared" si="409"/>
        <v>plays</v>
      </c>
      <c r="S3515" s="9">
        <f t="shared" si="406"/>
        <v>41780.887870370367</v>
      </c>
      <c r="T3515" s="9">
        <f t="shared" si="407"/>
        <v>41793.999305555553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404"/>
        <v>1.1000000000000001</v>
      </c>
      <c r="P3516">
        <f t="shared" si="405"/>
        <v>525</v>
      </c>
      <c r="Q3516" t="str">
        <f t="shared" si="408"/>
        <v>theater</v>
      </c>
      <c r="R3516" t="str">
        <f t="shared" si="409"/>
        <v>plays</v>
      </c>
      <c r="S3516" s="9">
        <f t="shared" si="406"/>
        <v>42020.638333333329</v>
      </c>
      <c r="T3516" s="9">
        <f t="shared" si="407"/>
        <v>42036.999305555553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404"/>
        <v>1.0266666666666666</v>
      </c>
      <c r="P3517">
        <f t="shared" si="405"/>
        <v>3040</v>
      </c>
      <c r="Q3517" t="str">
        <f t="shared" si="408"/>
        <v>theater</v>
      </c>
      <c r="R3517" t="str">
        <f t="shared" si="409"/>
        <v>plays</v>
      </c>
      <c r="S3517" s="9">
        <f t="shared" si="406"/>
        <v>42125.564479166664</v>
      </c>
      <c r="T3517" s="9">
        <f t="shared" si="407"/>
        <v>42155.564479166664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404"/>
        <v>1</v>
      </c>
      <c r="P3518">
        <f t="shared" si="405"/>
        <v>2500</v>
      </c>
      <c r="Q3518" t="str">
        <f t="shared" si="408"/>
        <v>theater</v>
      </c>
      <c r="R3518" t="str">
        <f t="shared" si="409"/>
        <v>plays</v>
      </c>
      <c r="S3518" s="9">
        <f t="shared" si="406"/>
        <v>41855.801736111105</v>
      </c>
      <c r="T3518" s="9">
        <f t="shared" si="407"/>
        <v>41889.916666666664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404"/>
        <v>1</v>
      </c>
      <c r="P3519">
        <f t="shared" si="405"/>
        <v>4000</v>
      </c>
      <c r="Q3519" t="str">
        <f t="shared" si="408"/>
        <v>theater</v>
      </c>
      <c r="R3519" t="str">
        <f t="shared" si="409"/>
        <v>plays</v>
      </c>
      <c r="S3519" s="9">
        <f t="shared" si="406"/>
        <v>41794.609189814808</v>
      </c>
      <c r="T3519" s="9">
        <f t="shared" si="407"/>
        <v>41824.25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404"/>
        <v>1.10046</v>
      </c>
      <c r="P3520">
        <f t="shared" si="405"/>
        <v>1575.345</v>
      </c>
      <c r="Q3520" t="str">
        <f t="shared" si="408"/>
        <v>theater</v>
      </c>
      <c r="R3520" t="str">
        <f t="shared" si="409"/>
        <v>plays</v>
      </c>
      <c r="S3520" s="9">
        <f t="shared" si="406"/>
        <v>41893.575219907405</v>
      </c>
      <c r="T3520" s="9">
        <f t="shared" si="407"/>
        <v>41914.38958333333</v>
      </c>
    </row>
    <row r="3521" spans="1:20" ht="29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404"/>
        <v>1.0135000000000001</v>
      </c>
      <c r="P3521">
        <f t="shared" si="405"/>
        <v>2013.5</v>
      </c>
      <c r="Q3521" t="str">
        <f t="shared" si="408"/>
        <v>theater</v>
      </c>
      <c r="R3521" t="str">
        <f t="shared" si="409"/>
        <v>plays</v>
      </c>
      <c r="S3521" s="9">
        <f t="shared" si="406"/>
        <v>42037.390624999993</v>
      </c>
      <c r="T3521" s="9">
        <f t="shared" si="407"/>
        <v>42067.390624999993</v>
      </c>
    </row>
    <row r="3522" spans="1:20" ht="29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404"/>
        <v>1.0075000000000001</v>
      </c>
      <c r="P3522">
        <f t="shared" si="405"/>
        <v>2007.5</v>
      </c>
      <c r="Q3522" t="str">
        <f t="shared" si="408"/>
        <v>theater</v>
      </c>
      <c r="R3522" t="str">
        <f t="shared" si="409"/>
        <v>plays</v>
      </c>
      <c r="S3522" s="9">
        <f t="shared" si="406"/>
        <v>42227.615879629629</v>
      </c>
      <c r="T3522" s="9">
        <f t="shared" si="407"/>
        <v>42253.365972222215</v>
      </c>
    </row>
    <row r="3523" spans="1:20" ht="43.5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410">E3523/D3523</f>
        <v>1.6942857142857144</v>
      </c>
      <c r="P3523">
        <f t="shared" ref="P3523:P3586" si="411">AVERAGE(D3523:E3523)</f>
        <v>471.5</v>
      </c>
      <c r="Q3523" t="str">
        <f t="shared" si="408"/>
        <v>theater</v>
      </c>
      <c r="R3523" t="str">
        <f t="shared" si="409"/>
        <v>plays</v>
      </c>
      <c r="S3523" s="9">
        <f t="shared" ref="S3523:S3586" si="412">J3523/86400+25569+(-5/24)</f>
        <v>41881.153009259258</v>
      </c>
      <c r="T3523" s="9">
        <f t="shared" si="407"/>
        <v>41911.153009259258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410"/>
        <v>1</v>
      </c>
      <c r="P3524">
        <f t="shared" si="411"/>
        <v>1395</v>
      </c>
      <c r="Q3524" t="str">
        <f t="shared" si="408"/>
        <v>theater</v>
      </c>
      <c r="R3524" t="str">
        <f t="shared" si="409"/>
        <v>plays</v>
      </c>
      <c r="S3524" s="9">
        <f t="shared" si="412"/>
        <v>42234.581550925919</v>
      </c>
      <c r="T3524" s="9">
        <f t="shared" ref="T3524:T3587" si="413">I3524/86400+25569+(-5/24)</f>
        <v>42262.212500000001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410"/>
        <v>1.1365000000000001</v>
      </c>
      <c r="P3525">
        <f t="shared" si="411"/>
        <v>4273</v>
      </c>
      <c r="Q3525" t="str">
        <f t="shared" si="408"/>
        <v>theater</v>
      </c>
      <c r="R3525" t="str">
        <f t="shared" si="409"/>
        <v>plays</v>
      </c>
      <c r="S3525" s="9">
        <f t="shared" si="412"/>
        <v>42581.189212962963</v>
      </c>
      <c r="T3525" s="9">
        <f t="shared" si="413"/>
        <v>42638.749999999993</v>
      </c>
    </row>
    <row r="3526" spans="1:20" ht="43.5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410"/>
        <v>1.0156000000000001</v>
      </c>
      <c r="P3526">
        <f t="shared" si="411"/>
        <v>10078</v>
      </c>
      <c r="Q3526" t="str">
        <f t="shared" si="408"/>
        <v>theater</v>
      </c>
      <c r="R3526" t="str">
        <f t="shared" si="409"/>
        <v>plays</v>
      </c>
      <c r="S3526" s="9">
        <f t="shared" si="412"/>
        <v>41880.555243055554</v>
      </c>
      <c r="T3526" s="9">
        <f t="shared" si="413"/>
        <v>41894.958333333328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410"/>
        <v>1.06</v>
      </c>
      <c r="P3527">
        <f t="shared" si="411"/>
        <v>515</v>
      </c>
      <c r="Q3527" t="str">
        <f t="shared" si="408"/>
        <v>theater</v>
      </c>
      <c r="R3527" t="str">
        <f t="shared" si="409"/>
        <v>plays</v>
      </c>
      <c r="S3527" s="9">
        <f t="shared" si="412"/>
        <v>42214.487337962964</v>
      </c>
      <c r="T3527" s="9">
        <f t="shared" si="413"/>
        <v>42225.458333333336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410"/>
        <v>1.02</v>
      </c>
      <c r="P3528">
        <f t="shared" si="411"/>
        <v>3333</v>
      </c>
      <c r="Q3528" t="str">
        <f t="shared" si="408"/>
        <v>theater</v>
      </c>
      <c r="R3528" t="str">
        <f t="shared" si="409"/>
        <v>plays</v>
      </c>
      <c r="S3528" s="9">
        <f t="shared" si="412"/>
        <v>42460.126979166664</v>
      </c>
      <c r="T3528" s="9">
        <f t="shared" si="413"/>
        <v>42488.040972222218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410"/>
        <v>1.1691666666666667</v>
      </c>
      <c r="P3529">
        <f t="shared" si="411"/>
        <v>6507.5</v>
      </c>
      <c r="Q3529" t="str">
        <f t="shared" si="408"/>
        <v>theater</v>
      </c>
      <c r="R3529" t="str">
        <f t="shared" si="409"/>
        <v>plays</v>
      </c>
      <c r="S3529" s="9">
        <f t="shared" si="412"/>
        <v>42166.814872685187</v>
      </c>
      <c r="T3529" s="9">
        <f t="shared" si="413"/>
        <v>42195.957638888889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410"/>
        <v>1.0115151515151515</v>
      </c>
      <c r="P3530">
        <f t="shared" si="411"/>
        <v>1659.5</v>
      </c>
      <c r="Q3530" t="str">
        <f t="shared" si="408"/>
        <v>theater</v>
      </c>
      <c r="R3530" t="str">
        <f t="shared" si="409"/>
        <v>plays</v>
      </c>
      <c r="S3530" s="9">
        <f t="shared" si="412"/>
        <v>42733.293032407404</v>
      </c>
      <c r="T3530" s="9">
        <f t="shared" si="413"/>
        <v>42753.293032407404</v>
      </c>
    </row>
    <row r="3531" spans="1:20" ht="43.5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410"/>
        <v>1.32</v>
      </c>
      <c r="P3531">
        <f t="shared" si="411"/>
        <v>580</v>
      </c>
      <c r="Q3531" t="str">
        <f t="shared" ref="Q3531:Q3594" si="414">IF(N3531="theater/plays","theater")</f>
        <v>theater</v>
      </c>
      <c r="R3531" t="str">
        <f t="shared" ref="R3531:R3594" si="415">IF(N3531="theater/plays","plays")</f>
        <v>plays</v>
      </c>
      <c r="S3531" s="9">
        <f t="shared" si="412"/>
        <v>42177.553449074076</v>
      </c>
      <c r="T3531" s="9">
        <f t="shared" si="413"/>
        <v>42197.833333333336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410"/>
        <v>1</v>
      </c>
      <c r="P3532">
        <f t="shared" si="411"/>
        <v>2750</v>
      </c>
      <c r="Q3532" t="str">
        <f t="shared" si="414"/>
        <v>theater</v>
      </c>
      <c r="R3532" t="str">
        <f t="shared" si="415"/>
        <v>plays</v>
      </c>
      <c r="S3532" s="9">
        <f t="shared" si="412"/>
        <v>42442.41501157407</v>
      </c>
      <c r="T3532" s="9">
        <f t="shared" si="413"/>
        <v>42470.624999999993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410"/>
        <v>1.28</v>
      </c>
      <c r="P3533">
        <f t="shared" si="411"/>
        <v>1140</v>
      </c>
      <c r="Q3533" t="str">
        <f t="shared" si="414"/>
        <v>theater</v>
      </c>
      <c r="R3533" t="str">
        <f t="shared" si="415"/>
        <v>plays</v>
      </c>
      <c r="S3533" s="9">
        <f t="shared" si="412"/>
        <v>42521.44599537037</v>
      </c>
      <c r="T3533" s="9">
        <f t="shared" si="413"/>
        <v>42551.44599537037</v>
      </c>
    </row>
    <row r="3534" spans="1:20" ht="43.5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410"/>
        <v>1.1895833333333334</v>
      </c>
      <c r="P3534">
        <f t="shared" si="411"/>
        <v>1051</v>
      </c>
      <c r="Q3534" t="str">
        <f t="shared" si="414"/>
        <v>theater</v>
      </c>
      <c r="R3534" t="str">
        <f t="shared" si="415"/>
        <v>plays</v>
      </c>
      <c r="S3534" s="9">
        <f t="shared" si="412"/>
        <v>41884.391516203701</v>
      </c>
      <c r="T3534" s="9">
        <f t="shared" si="413"/>
        <v>41899.957638888889</v>
      </c>
    </row>
    <row r="3535" spans="1:20" ht="43.5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410"/>
        <v>1.262</v>
      </c>
      <c r="P3535">
        <f t="shared" si="411"/>
        <v>565.5</v>
      </c>
      <c r="Q3535" t="str">
        <f t="shared" si="414"/>
        <v>theater</v>
      </c>
      <c r="R3535" t="str">
        <f t="shared" si="415"/>
        <v>plays</v>
      </c>
      <c r="S3535" s="9">
        <f t="shared" si="412"/>
        <v>42289.552858796298</v>
      </c>
      <c r="T3535" s="9">
        <f t="shared" si="413"/>
        <v>42319.594525462962</v>
      </c>
    </row>
    <row r="3536" spans="1:20" ht="29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410"/>
        <v>1.5620000000000001</v>
      </c>
      <c r="P3536">
        <f t="shared" si="411"/>
        <v>6405</v>
      </c>
      <c r="Q3536" t="str">
        <f t="shared" si="414"/>
        <v>theater</v>
      </c>
      <c r="R3536" t="str">
        <f t="shared" si="415"/>
        <v>plays</v>
      </c>
      <c r="S3536" s="9">
        <f t="shared" si="412"/>
        <v>42243.416932870365</v>
      </c>
      <c r="T3536" s="9">
        <f t="shared" si="413"/>
        <v>42278.416932870365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410"/>
        <v>1.0315000000000001</v>
      </c>
      <c r="P3537">
        <f t="shared" si="411"/>
        <v>2031.5</v>
      </c>
      <c r="Q3537" t="str">
        <f t="shared" si="414"/>
        <v>theater</v>
      </c>
      <c r="R3537" t="str">
        <f t="shared" si="415"/>
        <v>plays</v>
      </c>
      <c r="S3537" s="9">
        <f t="shared" si="412"/>
        <v>42248.431828703702</v>
      </c>
      <c r="T3537" s="9">
        <f t="shared" si="413"/>
        <v>42279.541666666664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410"/>
        <v>1.5333333333333334</v>
      </c>
      <c r="P3538">
        <f t="shared" si="411"/>
        <v>190</v>
      </c>
      <c r="Q3538" t="str">
        <f t="shared" si="414"/>
        <v>theater</v>
      </c>
      <c r="R3538" t="str">
        <f t="shared" si="415"/>
        <v>plays</v>
      </c>
      <c r="S3538" s="9">
        <f t="shared" si="412"/>
        <v>42328.518807870372</v>
      </c>
      <c r="T3538" s="9">
        <f t="shared" si="413"/>
        <v>42358.290972222218</v>
      </c>
    </row>
    <row r="3539" spans="1:20" ht="43.5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410"/>
        <v>1.8044444444444445</v>
      </c>
      <c r="P3539">
        <f t="shared" si="411"/>
        <v>946.5</v>
      </c>
      <c r="Q3539" t="str">
        <f t="shared" si="414"/>
        <v>theater</v>
      </c>
      <c r="R3539" t="str">
        <f t="shared" si="415"/>
        <v>plays</v>
      </c>
      <c r="S3539" s="9">
        <f t="shared" si="412"/>
        <v>41923.146018518521</v>
      </c>
      <c r="T3539" s="9">
        <f t="shared" si="413"/>
        <v>41960.124305555553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410"/>
        <v>1.2845</v>
      </c>
      <c r="P3540">
        <f t="shared" si="411"/>
        <v>2284.5</v>
      </c>
      <c r="Q3540" t="str">
        <f t="shared" si="414"/>
        <v>theater</v>
      </c>
      <c r="R3540" t="str">
        <f t="shared" si="415"/>
        <v>plays</v>
      </c>
      <c r="S3540" s="9">
        <f t="shared" si="412"/>
        <v>42571.212268518517</v>
      </c>
      <c r="T3540" s="9">
        <f t="shared" si="413"/>
        <v>42599.212268518517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410"/>
        <v>1.1966666666666668</v>
      </c>
      <c r="P3541">
        <f t="shared" si="411"/>
        <v>659</v>
      </c>
      <c r="Q3541" t="str">
        <f t="shared" si="414"/>
        <v>theater</v>
      </c>
      <c r="R3541" t="str">
        <f t="shared" si="415"/>
        <v>plays</v>
      </c>
      <c r="S3541" s="9">
        <f t="shared" si="412"/>
        <v>42600.547708333332</v>
      </c>
      <c r="T3541" s="9">
        <f t="shared" si="413"/>
        <v>42621.547708333332</v>
      </c>
    </row>
    <row r="3542" spans="1:20" ht="43.5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410"/>
        <v>1.23</v>
      </c>
      <c r="P3542">
        <f t="shared" si="411"/>
        <v>334.5</v>
      </c>
      <c r="Q3542" t="str">
        <f t="shared" si="414"/>
        <v>theater</v>
      </c>
      <c r="R3542" t="str">
        <f t="shared" si="415"/>
        <v>plays</v>
      </c>
      <c r="S3542" s="9">
        <f t="shared" si="412"/>
        <v>42516.795034722221</v>
      </c>
      <c r="T3542" s="9">
        <f t="shared" si="413"/>
        <v>42546.795034722221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410"/>
        <v>1.05</v>
      </c>
      <c r="P3543">
        <f t="shared" si="411"/>
        <v>1230</v>
      </c>
      <c r="Q3543" t="str">
        <f t="shared" si="414"/>
        <v>theater</v>
      </c>
      <c r="R3543" t="str">
        <f t="shared" si="415"/>
        <v>plays</v>
      </c>
      <c r="S3543" s="9">
        <f t="shared" si="412"/>
        <v>42222.521701388883</v>
      </c>
      <c r="T3543" s="9">
        <f t="shared" si="413"/>
        <v>42247.521701388883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410"/>
        <v>1.0223636363636364</v>
      </c>
      <c r="P3544">
        <f t="shared" si="411"/>
        <v>5561.5</v>
      </c>
      <c r="Q3544" t="str">
        <f t="shared" si="414"/>
        <v>theater</v>
      </c>
      <c r="R3544" t="str">
        <f t="shared" si="415"/>
        <v>plays</v>
      </c>
      <c r="S3544" s="9">
        <f t="shared" si="412"/>
        <v>41829.391458333332</v>
      </c>
      <c r="T3544" s="9">
        <f t="shared" si="413"/>
        <v>41889.391458333332</v>
      </c>
    </row>
    <row r="3545" spans="1:20" ht="29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410"/>
        <v>1.0466666666666666</v>
      </c>
      <c r="P3545">
        <f t="shared" si="411"/>
        <v>1535</v>
      </c>
      <c r="Q3545" t="str">
        <f t="shared" si="414"/>
        <v>theater</v>
      </c>
      <c r="R3545" t="str">
        <f t="shared" si="415"/>
        <v>plays</v>
      </c>
      <c r="S3545" s="9">
        <f t="shared" si="412"/>
        <v>42150.546979166662</v>
      </c>
      <c r="T3545" s="9">
        <f t="shared" si="413"/>
        <v>42180.546979166662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410"/>
        <v>1</v>
      </c>
      <c r="P3546">
        <f t="shared" si="411"/>
        <v>2500</v>
      </c>
      <c r="Q3546" t="str">
        <f t="shared" si="414"/>
        <v>theater</v>
      </c>
      <c r="R3546" t="str">
        <f t="shared" si="415"/>
        <v>plays</v>
      </c>
      <c r="S3546" s="9">
        <f t="shared" si="412"/>
        <v>42040.623344907406</v>
      </c>
      <c r="T3546" s="9">
        <f t="shared" si="413"/>
        <v>42070.623344907406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410"/>
        <v>1.004</v>
      </c>
      <c r="P3547">
        <f t="shared" si="411"/>
        <v>250.5</v>
      </c>
      <c r="Q3547" t="str">
        <f t="shared" si="414"/>
        <v>theater</v>
      </c>
      <c r="R3547" t="str">
        <f t="shared" si="415"/>
        <v>plays</v>
      </c>
      <c r="S3547" s="9">
        <f t="shared" si="412"/>
        <v>42075.599062499998</v>
      </c>
      <c r="T3547" s="9">
        <f t="shared" si="413"/>
        <v>42105.599062499998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410"/>
        <v>1.0227272727272727</v>
      </c>
      <c r="P3548">
        <f t="shared" si="411"/>
        <v>1112.5</v>
      </c>
      <c r="Q3548" t="str">
        <f t="shared" si="414"/>
        <v>theater</v>
      </c>
      <c r="R3548" t="str">
        <f t="shared" si="415"/>
        <v>plays</v>
      </c>
      <c r="S3548" s="9">
        <f t="shared" si="412"/>
        <v>42073.452361111107</v>
      </c>
      <c r="T3548" s="9">
        <f t="shared" si="413"/>
        <v>42094.957638888889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410"/>
        <v>1.1440928571428572</v>
      </c>
      <c r="P3549">
        <f t="shared" si="411"/>
        <v>37521.625</v>
      </c>
      <c r="Q3549" t="str">
        <f t="shared" si="414"/>
        <v>theater</v>
      </c>
      <c r="R3549" t="str">
        <f t="shared" si="415"/>
        <v>plays</v>
      </c>
      <c r="S3549" s="9">
        <f t="shared" si="412"/>
        <v>42479.870381944442</v>
      </c>
      <c r="T3549" s="9">
        <f t="shared" si="413"/>
        <v>42503.957638888889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410"/>
        <v>1.019047619047619</v>
      </c>
      <c r="P3550">
        <f t="shared" si="411"/>
        <v>2120</v>
      </c>
      <c r="Q3550" t="str">
        <f t="shared" si="414"/>
        <v>theater</v>
      </c>
      <c r="R3550" t="str">
        <f t="shared" si="415"/>
        <v>plays</v>
      </c>
      <c r="S3550" s="9">
        <f t="shared" si="412"/>
        <v>42411.733958333331</v>
      </c>
      <c r="T3550" s="9">
        <f t="shared" si="413"/>
        <v>42433.833333333336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410"/>
        <v>1.02</v>
      </c>
      <c r="P3551">
        <f t="shared" si="411"/>
        <v>1010</v>
      </c>
      <c r="Q3551" t="str">
        <f t="shared" si="414"/>
        <v>theater</v>
      </c>
      <c r="R3551" t="str">
        <f t="shared" si="415"/>
        <v>plays</v>
      </c>
      <c r="S3551" s="9">
        <f t="shared" si="412"/>
        <v>42223.186030092591</v>
      </c>
      <c r="T3551" s="9">
        <f t="shared" si="413"/>
        <v>42251.186030092591</v>
      </c>
    </row>
    <row r="3552" spans="1:20" ht="43.5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410"/>
        <v>1.048</v>
      </c>
      <c r="P3552">
        <f t="shared" si="411"/>
        <v>2560</v>
      </c>
      <c r="Q3552" t="str">
        <f t="shared" si="414"/>
        <v>theater</v>
      </c>
      <c r="R3552" t="str">
        <f t="shared" si="415"/>
        <v>plays</v>
      </c>
      <c r="S3552" s="9">
        <f t="shared" si="412"/>
        <v>42462.685162037036</v>
      </c>
      <c r="T3552" s="9">
        <f t="shared" si="413"/>
        <v>42492.685162037036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410"/>
        <v>1.0183333333333333</v>
      </c>
      <c r="P3553">
        <f t="shared" si="411"/>
        <v>1513.75</v>
      </c>
      <c r="Q3553" t="str">
        <f t="shared" si="414"/>
        <v>theater</v>
      </c>
      <c r="R3553" t="str">
        <f t="shared" si="415"/>
        <v>plays</v>
      </c>
      <c r="S3553" s="9">
        <f t="shared" si="412"/>
        <v>41753.307523148142</v>
      </c>
      <c r="T3553" s="9">
        <f t="shared" si="413"/>
        <v>41781.713194444441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410"/>
        <v>1</v>
      </c>
      <c r="P3554">
        <f t="shared" si="411"/>
        <v>773</v>
      </c>
      <c r="Q3554" t="str">
        <f t="shared" si="414"/>
        <v>theater</v>
      </c>
      <c r="R3554" t="str">
        <f t="shared" si="415"/>
        <v>plays</v>
      </c>
      <c r="S3554" s="9">
        <f t="shared" si="412"/>
        <v>41788.378749999996</v>
      </c>
      <c r="T3554" s="9">
        <f t="shared" si="413"/>
        <v>41818.378749999996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410"/>
        <v>1.0627272727272727</v>
      </c>
      <c r="P3555">
        <f t="shared" si="411"/>
        <v>5672.5</v>
      </c>
      <c r="Q3555" t="str">
        <f t="shared" si="414"/>
        <v>theater</v>
      </c>
      <c r="R3555" t="str">
        <f t="shared" si="415"/>
        <v>plays</v>
      </c>
      <c r="S3555" s="9">
        <f t="shared" si="412"/>
        <v>42195.820370370369</v>
      </c>
      <c r="T3555" s="9">
        <f t="shared" si="413"/>
        <v>42227.791666666664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410"/>
        <v>1.1342219999999998</v>
      </c>
      <c r="P3556">
        <f t="shared" si="411"/>
        <v>5335.5550000000003</v>
      </c>
      <c r="Q3556" t="str">
        <f t="shared" si="414"/>
        <v>theater</v>
      </c>
      <c r="R3556" t="str">
        <f t="shared" si="415"/>
        <v>plays</v>
      </c>
      <c r="S3556" s="9">
        <f t="shared" si="412"/>
        <v>42015.842118055552</v>
      </c>
      <c r="T3556" s="9">
        <f t="shared" si="413"/>
        <v>42046.499999999993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410"/>
        <v>1</v>
      </c>
      <c r="P3557">
        <f t="shared" si="411"/>
        <v>2400</v>
      </c>
      <c r="Q3557" t="str">
        <f t="shared" si="414"/>
        <v>theater</v>
      </c>
      <c r="R3557" t="str">
        <f t="shared" si="415"/>
        <v>plays</v>
      </c>
      <c r="S3557" s="9">
        <f t="shared" si="412"/>
        <v>42661.233726851853</v>
      </c>
      <c r="T3557" s="9">
        <f t="shared" si="413"/>
        <v>42691.275393518517</v>
      </c>
    </row>
    <row r="3558" spans="1:20" ht="43.5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410"/>
        <v>1.0045454545454546</v>
      </c>
      <c r="P3558">
        <f t="shared" si="411"/>
        <v>2205</v>
      </c>
      <c r="Q3558" t="str">
        <f t="shared" si="414"/>
        <v>theater</v>
      </c>
      <c r="R3558" t="str">
        <f t="shared" si="415"/>
        <v>plays</v>
      </c>
      <c r="S3558" s="9">
        <f t="shared" si="412"/>
        <v>41808.441249999996</v>
      </c>
      <c r="T3558" s="9">
        <f t="shared" si="413"/>
        <v>41868.441249999996</v>
      </c>
    </row>
    <row r="3559" spans="1:20" ht="43.5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410"/>
        <v>1.0003599999999999</v>
      </c>
      <c r="P3559">
        <f t="shared" si="411"/>
        <v>100018</v>
      </c>
      <c r="Q3559" t="str">
        <f t="shared" si="414"/>
        <v>theater</v>
      </c>
      <c r="R3559" t="str">
        <f t="shared" si="415"/>
        <v>plays</v>
      </c>
      <c r="S3559" s="9">
        <f t="shared" si="412"/>
        <v>41730.068414351852</v>
      </c>
      <c r="T3559" s="9">
        <f t="shared" si="413"/>
        <v>41764.068414351852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410"/>
        <v>1.44</v>
      </c>
      <c r="P3560">
        <f t="shared" si="411"/>
        <v>427</v>
      </c>
      <c r="Q3560" t="str">
        <f t="shared" si="414"/>
        <v>theater</v>
      </c>
      <c r="R3560" t="str">
        <f t="shared" si="415"/>
        <v>plays</v>
      </c>
      <c r="S3560" s="9">
        <f t="shared" si="412"/>
        <v>42139.608506944445</v>
      </c>
      <c r="T3560" s="9">
        <f t="shared" si="413"/>
        <v>42181.666666666664</v>
      </c>
    </row>
    <row r="3561" spans="1:20" ht="43.5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410"/>
        <v>1.0349999999999999</v>
      </c>
      <c r="P3561">
        <f t="shared" si="411"/>
        <v>1017.5</v>
      </c>
      <c r="Q3561" t="str">
        <f t="shared" si="414"/>
        <v>theater</v>
      </c>
      <c r="R3561" t="str">
        <f t="shared" si="415"/>
        <v>plays</v>
      </c>
      <c r="S3561" s="9">
        <f t="shared" si="412"/>
        <v>42193.887824074067</v>
      </c>
      <c r="T3561" s="9">
        <f t="shared" si="413"/>
        <v>42216.165277777771</v>
      </c>
    </row>
    <row r="3562" spans="1:20" ht="43.5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410"/>
        <v>1.0843750000000001</v>
      </c>
      <c r="P3562">
        <f t="shared" si="411"/>
        <v>3335</v>
      </c>
      <c r="Q3562" t="str">
        <f t="shared" si="414"/>
        <v>theater</v>
      </c>
      <c r="R3562" t="str">
        <f t="shared" si="415"/>
        <v>plays</v>
      </c>
      <c r="S3562" s="9">
        <f t="shared" si="412"/>
        <v>42115.68131944444</v>
      </c>
      <c r="T3562" s="9">
        <f t="shared" si="413"/>
        <v>42150.906249999993</v>
      </c>
    </row>
    <row r="3563" spans="1:20" ht="101.5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410"/>
        <v>1.024</v>
      </c>
      <c r="P3563">
        <f t="shared" si="411"/>
        <v>2530</v>
      </c>
      <c r="Q3563" t="str">
        <f t="shared" si="414"/>
        <v>theater</v>
      </c>
      <c r="R3563" t="str">
        <f t="shared" si="415"/>
        <v>plays</v>
      </c>
      <c r="S3563" s="9">
        <f t="shared" si="412"/>
        <v>42203.471967592595</v>
      </c>
      <c r="T3563" s="9">
        <f t="shared" si="413"/>
        <v>42221.566666666666</v>
      </c>
    </row>
    <row r="3564" spans="1:20" ht="43.5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410"/>
        <v>1.4888888888888889</v>
      </c>
      <c r="P3564">
        <f t="shared" si="411"/>
        <v>392</v>
      </c>
      <c r="Q3564" t="str">
        <f t="shared" si="414"/>
        <v>theater</v>
      </c>
      <c r="R3564" t="str">
        <f t="shared" si="415"/>
        <v>plays</v>
      </c>
      <c r="S3564" s="9">
        <f t="shared" si="412"/>
        <v>42433.553553240738</v>
      </c>
      <c r="T3564" s="9">
        <f t="shared" si="413"/>
        <v>42442.708333333336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410"/>
        <v>1.0549000000000002</v>
      </c>
      <c r="P3565">
        <f t="shared" si="411"/>
        <v>513.72500000000002</v>
      </c>
      <c r="Q3565" t="str">
        <f t="shared" si="414"/>
        <v>theater</v>
      </c>
      <c r="R3565" t="str">
        <f t="shared" si="415"/>
        <v>plays</v>
      </c>
      <c r="S3565" s="9">
        <f t="shared" si="412"/>
        <v>42555.46361111111</v>
      </c>
      <c r="T3565" s="9">
        <f t="shared" si="413"/>
        <v>42583.583333333336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410"/>
        <v>1.0049999999999999</v>
      </c>
      <c r="P3566">
        <f t="shared" si="411"/>
        <v>1002.5</v>
      </c>
      <c r="Q3566" t="str">
        <f t="shared" si="414"/>
        <v>theater</v>
      </c>
      <c r="R3566" t="str">
        <f t="shared" si="415"/>
        <v>plays</v>
      </c>
      <c r="S3566" s="9">
        <f t="shared" si="412"/>
        <v>42236.414918981478</v>
      </c>
      <c r="T3566" s="9">
        <f t="shared" si="413"/>
        <v>42282.458333333336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410"/>
        <v>1.3055555555555556</v>
      </c>
      <c r="P3567">
        <f t="shared" si="411"/>
        <v>1037.5</v>
      </c>
      <c r="Q3567" t="str">
        <f t="shared" si="414"/>
        <v>theater</v>
      </c>
      <c r="R3567" t="str">
        <f t="shared" si="415"/>
        <v>plays</v>
      </c>
      <c r="S3567" s="9">
        <f t="shared" si="412"/>
        <v>41974.534814814811</v>
      </c>
      <c r="T3567" s="9">
        <f t="shared" si="413"/>
        <v>42004.534814814811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410"/>
        <v>1.0475000000000001</v>
      </c>
      <c r="P3568">
        <f t="shared" si="411"/>
        <v>2047.5</v>
      </c>
      <c r="Q3568" t="str">
        <f t="shared" si="414"/>
        <v>theater</v>
      </c>
      <c r="R3568" t="str">
        <f t="shared" si="415"/>
        <v>plays</v>
      </c>
      <c r="S3568" s="9">
        <f t="shared" si="412"/>
        <v>41997.299571759257</v>
      </c>
      <c r="T3568" s="9">
        <f t="shared" si="413"/>
        <v>42027.299571759257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410"/>
        <v>1.0880000000000001</v>
      </c>
      <c r="P3569">
        <f t="shared" si="411"/>
        <v>1044</v>
      </c>
      <c r="Q3569" t="str">
        <f t="shared" si="414"/>
        <v>theater</v>
      </c>
      <c r="R3569" t="str">
        <f t="shared" si="415"/>
        <v>plays</v>
      </c>
      <c r="S3569" s="9">
        <f t="shared" si="412"/>
        <v>42135.602361111109</v>
      </c>
      <c r="T3569" s="9">
        <f t="shared" si="413"/>
        <v>42165.602361111109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410"/>
        <v>1.1100000000000001</v>
      </c>
      <c r="P3570">
        <f t="shared" si="411"/>
        <v>1055</v>
      </c>
      <c r="Q3570" t="str">
        <f t="shared" si="414"/>
        <v>theater</v>
      </c>
      <c r="R3570" t="str">
        <f t="shared" si="415"/>
        <v>plays</v>
      </c>
      <c r="S3570" s="9">
        <f t="shared" si="412"/>
        <v>41869.532337962963</v>
      </c>
      <c r="T3570" s="9">
        <f t="shared" si="413"/>
        <v>41899.532337962963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410"/>
        <v>1.0047999999999999</v>
      </c>
      <c r="P3571">
        <f t="shared" si="411"/>
        <v>5012</v>
      </c>
      <c r="Q3571" t="str">
        <f t="shared" si="414"/>
        <v>theater</v>
      </c>
      <c r="R3571" t="str">
        <f t="shared" si="415"/>
        <v>plays</v>
      </c>
      <c r="S3571" s="9">
        <f t="shared" si="412"/>
        <v>41982.480277777773</v>
      </c>
      <c r="T3571" s="9">
        <f t="shared" si="413"/>
        <v>42012.480277777773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410"/>
        <v>1.1435</v>
      </c>
      <c r="P3572">
        <f t="shared" si="411"/>
        <v>2143.5</v>
      </c>
      <c r="Q3572" t="str">
        <f t="shared" si="414"/>
        <v>theater</v>
      </c>
      <c r="R3572" t="str">
        <f t="shared" si="415"/>
        <v>plays</v>
      </c>
      <c r="S3572" s="9">
        <f t="shared" si="412"/>
        <v>41976.12364583333</v>
      </c>
      <c r="T3572" s="9">
        <f t="shared" si="413"/>
        <v>42004.083333333336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410"/>
        <v>1.2206666666666666</v>
      </c>
      <c r="P3573">
        <f t="shared" si="411"/>
        <v>1665.5</v>
      </c>
      <c r="Q3573" t="str">
        <f t="shared" si="414"/>
        <v>theater</v>
      </c>
      <c r="R3573" t="str">
        <f t="shared" si="415"/>
        <v>plays</v>
      </c>
      <c r="S3573" s="9">
        <f t="shared" si="412"/>
        <v>41912.650613425925</v>
      </c>
      <c r="T3573" s="9">
        <f t="shared" si="413"/>
        <v>41942.650613425925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410"/>
        <v>1</v>
      </c>
      <c r="P3574">
        <f t="shared" si="411"/>
        <v>500</v>
      </c>
      <c r="Q3574" t="str">
        <f t="shared" si="414"/>
        <v>theater</v>
      </c>
      <c r="R3574" t="str">
        <f t="shared" si="415"/>
        <v>plays</v>
      </c>
      <c r="S3574" s="9">
        <f t="shared" si="412"/>
        <v>42146.36206018518</v>
      </c>
      <c r="T3574" s="9">
        <f t="shared" si="413"/>
        <v>42176.36206018518</v>
      </c>
    </row>
    <row r="3575" spans="1:20" ht="29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410"/>
        <v>1.028</v>
      </c>
      <c r="P3575">
        <f t="shared" si="411"/>
        <v>3042</v>
      </c>
      <c r="Q3575" t="str">
        <f t="shared" si="414"/>
        <v>theater</v>
      </c>
      <c r="R3575" t="str">
        <f t="shared" si="415"/>
        <v>plays</v>
      </c>
      <c r="S3575" s="9">
        <f t="shared" si="412"/>
        <v>41921.167199074072</v>
      </c>
      <c r="T3575" s="9">
        <f t="shared" si="413"/>
        <v>41951.208865740737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410"/>
        <v>1.0612068965517241</v>
      </c>
      <c r="P3576">
        <f t="shared" si="411"/>
        <v>5977.5</v>
      </c>
      <c r="Q3576" t="str">
        <f t="shared" si="414"/>
        <v>theater</v>
      </c>
      <c r="R3576" t="str">
        <f t="shared" si="415"/>
        <v>plays</v>
      </c>
      <c r="S3576" s="9">
        <f t="shared" si="412"/>
        <v>41926.734351851854</v>
      </c>
      <c r="T3576" s="9">
        <f t="shared" si="413"/>
        <v>41956.776018518511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410"/>
        <v>1.0133000000000001</v>
      </c>
      <c r="P3577">
        <f t="shared" si="411"/>
        <v>10066.5</v>
      </c>
      <c r="Q3577" t="str">
        <f t="shared" si="414"/>
        <v>theater</v>
      </c>
      <c r="R3577" t="str">
        <f t="shared" si="415"/>
        <v>plays</v>
      </c>
      <c r="S3577" s="9">
        <f t="shared" si="412"/>
        <v>42561.575543981475</v>
      </c>
      <c r="T3577" s="9">
        <f t="shared" si="413"/>
        <v>42592.957638888889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410"/>
        <v>1</v>
      </c>
      <c r="P3578">
        <f t="shared" si="411"/>
        <v>100</v>
      </c>
      <c r="Q3578" t="str">
        <f t="shared" si="414"/>
        <v>theater</v>
      </c>
      <c r="R3578" t="str">
        <f t="shared" si="415"/>
        <v>plays</v>
      </c>
      <c r="S3578" s="9">
        <f t="shared" si="412"/>
        <v>42649.340902777774</v>
      </c>
      <c r="T3578" s="9">
        <f t="shared" si="413"/>
        <v>42709.382569444446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410"/>
        <v>1.3</v>
      </c>
      <c r="P3579">
        <f t="shared" si="411"/>
        <v>690</v>
      </c>
      <c r="Q3579" t="str">
        <f t="shared" si="414"/>
        <v>theater</v>
      </c>
      <c r="R3579" t="str">
        <f t="shared" si="415"/>
        <v>plays</v>
      </c>
      <c r="S3579" s="9">
        <f t="shared" si="412"/>
        <v>42093.578506944446</v>
      </c>
      <c r="T3579" s="9">
        <f t="shared" si="413"/>
        <v>42120.061111111114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410"/>
        <v>1.0001333333333333</v>
      </c>
      <c r="P3580">
        <f t="shared" si="411"/>
        <v>1500.1</v>
      </c>
      <c r="Q3580" t="str">
        <f t="shared" si="414"/>
        <v>theater</v>
      </c>
      <c r="R3580" t="str">
        <f t="shared" si="415"/>
        <v>plays</v>
      </c>
      <c r="S3580" s="9">
        <f t="shared" si="412"/>
        <v>42460.525196759256</v>
      </c>
      <c r="T3580" s="9">
        <f t="shared" si="413"/>
        <v>42490.525196759256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410"/>
        <v>1</v>
      </c>
      <c r="P3581">
        <f t="shared" si="411"/>
        <v>500</v>
      </c>
      <c r="Q3581" t="str">
        <f t="shared" si="414"/>
        <v>theater</v>
      </c>
      <c r="R3581" t="str">
        <f t="shared" si="415"/>
        <v>plays</v>
      </c>
      <c r="S3581" s="9">
        <f t="shared" si="412"/>
        <v>42430.553888888891</v>
      </c>
      <c r="T3581" s="9">
        <f t="shared" si="413"/>
        <v>42460.51222222222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410"/>
        <v>1.1388888888888888</v>
      </c>
      <c r="P3582">
        <f t="shared" si="411"/>
        <v>962.5</v>
      </c>
      <c r="Q3582" t="str">
        <f t="shared" si="414"/>
        <v>theater</v>
      </c>
      <c r="R3582" t="str">
        <f t="shared" si="415"/>
        <v>plays</v>
      </c>
      <c r="S3582" s="9">
        <f t="shared" si="412"/>
        <v>42025.967847222222</v>
      </c>
      <c r="T3582" s="9">
        <f t="shared" si="413"/>
        <v>42063.999305555553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410"/>
        <v>1</v>
      </c>
      <c r="P3583">
        <f t="shared" si="411"/>
        <v>1500</v>
      </c>
      <c r="Q3583" t="str">
        <f t="shared" si="414"/>
        <v>theater</v>
      </c>
      <c r="R3583" t="str">
        <f t="shared" si="415"/>
        <v>plays</v>
      </c>
      <c r="S3583" s="9">
        <f t="shared" si="412"/>
        <v>41836.26284722222</v>
      </c>
      <c r="T3583" s="9">
        <f t="shared" si="413"/>
        <v>41850.26284722222</v>
      </c>
    </row>
    <row r="3584" spans="1:20" ht="29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410"/>
        <v>2.87</v>
      </c>
      <c r="P3584">
        <f t="shared" si="411"/>
        <v>1935</v>
      </c>
      <c r="Q3584" t="str">
        <f t="shared" si="414"/>
        <v>theater</v>
      </c>
      <c r="R3584" t="str">
        <f t="shared" si="415"/>
        <v>plays</v>
      </c>
      <c r="S3584" s="9">
        <f t="shared" si="412"/>
        <v>42450.887523148143</v>
      </c>
      <c r="T3584" s="9">
        <f t="shared" si="413"/>
        <v>42464.887523148143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410"/>
        <v>1.085</v>
      </c>
      <c r="P3585">
        <f t="shared" si="411"/>
        <v>3127.5</v>
      </c>
      <c r="Q3585" t="str">
        <f t="shared" si="414"/>
        <v>theater</v>
      </c>
      <c r="R3585" t="str">
        <f t="shared" si="415"/>
        <v>plays</v>
      </c>
      <c r="S3585" s="9">
        <f t="shared" si="412"/>
        <v>42418.217650462961</v>
      </c>
      <c r="T3585" s="9">
        <f t="shared" si="413"/>
        <v>42478.175983796296</v>
      </c>
    </row>
    <row r="3586" spans="1:20" ht="72.5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410"/>
        <v>1.155</v>
      </c>
      <c r="P3586">
        <f t="shared" si="411"/>
        <v>3232.5</v>
      </c>
      <c r="Q3586" t="str">
        <f t="shared" si="414"/>
        <v>theater</v>
      </c>
      <c r="R3586" t="str">
        <f t="shared" si="415"/>
        <v>plays</v>
      </c>
      <c r="S3586" s="9">
        <f t="shared" si="412"/>
        <v>42168.108148148145</v>
      </c>
      <c r="T3586" s="9">
        <f t="shared" si="413"/>
        <v>42198.108148148145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416">E3587/D3587</f>
        <v>1.1911764705882353</v>
      </c>
      <c r="P3587">
        <f t="shared" ref="P3587:P3650" si="417">AVERAGE(D3587:E3587)</f>
        <v>3725</v>
      </c>
      <c r="Q3587" t="str">
        <f t="shared" si="414"/>
        <v>theater</v>
      </c>
      <c r="R3587" t="str">
        <f t="shared" si="415"/>
        <v>plays</v>
      </c>
      <c r="S3587" s="9">
        <f t="shared" ref="S3587:S3650" si="418">J3587/86400+25569+(-5/24)</f>
        <v>41964.507986111108</v>
      </c>
      <c r="T3587" s="9">
        <f t="shared" si="413"/>
        <v>41994.507986111108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416"/>
        <v>1.0942666666666667</v>
      </c>
      <c r="P3588">
        <f t="shared" si="417"/>
        <v>7853.5</v>
      </c>
      <c r="Q3588" t="str">
        <f t="shared" si="414"/>
        <v>theater</v>
      </c>
      <c r="R3588" t="str">
        <f t="shared" si="415"/>
        <v>plays</v>
      </c>
      <c r="S3588" s="9">
        <f t="shared" si="418"/>
        <v>42576.489236111105</v>
      </c>
      <c r="T3588" s="9">
        <f t="shared" ref="T3588:T3651" si="419">I3588/86400+25569+(-5/24)</f>
        <v>42636.489236111105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416"/>
        <v>1.266</v>
      </c>
      <c r="P3589">
        <f t="shared" si="417"/>
        <v>566.5</v>
      </c>
      <c r="Q3589" t="str">
        <f t="shared" si="414"/>
        <v>theater</v>
      </c>
      <c r="R3589" t="str">
        <f t="shared" si="415"/>
        <v>plays</v>
      </c>
      <c r="S3589" s="9">
        <f t="shared" si="418"/>
        <v>42503.331643518519</v>
      </c>
      <c r="T3589" s="9">
        <f t="shared" si="419"/>
        <v>42548.583333333336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416"/>
        <v>1.0049999999999999</v>
      </c>
      <c r="P3590">
        <f t="shared" si="417"/>
        <v>200.5</v>
      </c>
      <c r="Q3590" t="str">
        <f t="shared" si="414"/>
        <v>theater</v>
      </c>
      <c r="R3590" t="str">
        <f t="shared" si="415"/>
        <v>plays</v>
      </c>
      <c r="S3590" s="9">
        <f t="shared" si="418"/>
        <v>42101.620486111111</v>
      </c>
      <c r="T3590" s="9">
        <f t="shared" si="419"/>
        <v>42123.749999999993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416"/>
        <v>1.2749999999999999</v>
      </c>
      <c r="P3591">
        <f t="shared" si="417"/>
        <v>4550</v>
      </c>
      <c r="Q3591" t="str">
        <f t="shared" si="414"/>
        <v>theater</v>
      </c>
      <c r="R3591" t="str">
        <f t="shared" si="415"/>
        <v>plays</v>
      </c>
      <c r="S3591" s="9">
        <f t="shared" si="418"/>
        <v>42125.439201388886</v>
      </c>
      <c r="T3591" s="9">
        <f t="shared" si="419"/>
        <v>42150.439201388886</v>
      </c>
    </row>
    <row r="3592" spans="1:20" ht="43.5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416"/>
        <v>1.0005999999999999</v>
      </c>
      <c r="P3592">
        <f t="shared" si="417"/>
        <v>5001.5</v>
      </c>
      <c r="Q3592" t="str">
        <f t="shared" si="414"/>
        <v>theater</v>
      </c>
      <c r="R3592" t="str">
        <f t="shared" si="415"/>
        <v>plays</v>
      </c>
      <c r="S3592" s="9">
        <f t="shared" si="418"/>
        <v>41902.125393518516</v>
      </c>
      <c r="T3592" s="9">
        <f t="shared" si="419"/>
        <v>41932.125393518516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416"/>
        <v>1.75</v>
      </c>
      <c r="P3593">
        <f t="shared" si="417"/>
        <v>962.5</v>
      </c>
      <c r="Q3593" t="str">
        <f t="shared" si="414"/>
        <v>theater</v>
      </c>
      <c r="R3593" t="str">
        <f t="shared" si="415"/>
        <v>plays</v>
      </c>
      <c r="S3593" s="9">
        <f t="shared" si="418"/>
        <v>42003.74009259259</v>
      </c>
      <c r="T3593" s="9">
        <f t="shared" si="419"/>
        <v>42027.999305555553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416"/>
        <v>1.2725</v>
      </c>
      <c r="P3594">
        <f t="shared" si="417"/>
        <v>2272.5</v>
      </c>
      <c r="Q3594" t="str">
        <f t="shared" si="414"/>
        <v>theater</v>
      </c>
      <c r="R3594" t="str">
        <f t="shared" si="415"/>
        <v>plays</v>
      </c>
      <c r="S3594" s="9">
        <f t="shared" si="418"/>
        <v>41988.621608796289</v>
      </c>
      <c r="T3594" s="9">
        <f t="shared" si="419"/>
        <v>42045.999305555553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416"/>
        <v>1.1063333333333334</v>
      </c>
      <c r="P3595">
        <f t="shared" si="417"/>
        <v>3159.5</v>
      </c>
      <c r="Q3595" t="str">
        <f t="shared" ref="Q3595:Q3658" si="420">IF(N3595="theater/plays","theater")</f>
        <v>theater</v>
      </c>
      <c r="R3595" t="str">
        <f t="shared" ref="R3595:R3658" si="421">IF(N3595="theater/plays","plays")</f>
        <v>plays</v>
      </c>
      <c r="S3595" s="9">
        <f t="shared" si="418"/>
        <v>41974.690266203703</v>
      </c>
      <c r="T3595" s="9">
        <f t="shared" si="419"/>
        <v>42009.643055555549</v>
      </c>
    </row>
    <row r="3596" spans="1:20" ht="43.5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416"/>
        <v>1.2593749999999999</v>
      </c>
      <c r="P3596">
        <f t="shared" si="417"/>
        <v>1807.5</v>
      </c>
      <c r="Q3596" t="str">
        <f t="shared" si="420"/>
        <v>theater</v>
      </c>
      <c r="R3596" t="str">
        <f t="shared" si="421"/>
        <v>plays</v>
      </c>
      <c r="S3596" s="9">
        <f t="shared" si="418"/>
        <v>42591.858587962961</v>
      </c>
      <c r="T3596" s="9">
        <f t="shared" si="419"/>
        <v>42616.858587962961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416"/>
        <v>1.1850000000000001</v>
      </c>
      <c r="P3597">
        <f t="shared" si="417"/>
        <v>2840.5</v>
      </c>
      <c r="Q3597" t="str">
        <f t="shared" si="420"/>
        <v>theater</v>
      </c>
      <c r="R3597" t="str">
        <f t="shared" si="421"/>
        <v>plays</v>
      </c>
      <c r="S3597" s="9">
        <f t="shared" si="418"/>
        <v>42049.800034722219</v>
      </c>
      <c r="T3597" s="9">
        <f t="shared" si="419"/>
        <v>42076.082638888889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416"/>
        <v>1.0772727272727274</v>
      </c>
      <c r="P3598">
        <f t="shared" si="417"/>
        <v>1142.5</v>
      </c>
      <c r="Q3598" t="str">
        <f t="shared" si="420"/>
        <v>theater</v>
      </c>
      <c r="R3598" t="str">
        <f t="shared" si="421"/>
        <v>plays</v>
      </c>
      <c r="S3598" s="9">
        <f t="shared" si="418"/>
        <v>41856.506736111107</v>
      </c>
      <c r="T3598" s="9">
        <f t="shared" si="419"/>
        <v>41877.506736111107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416"/>
        <v>1.026</v>
      </c>
      <c r="P3599">
        <f t="shared" si="417"/>
        <v>2532.5</v>
      </c>
      <c r="Q3599" t="str">
        <f t="shared" si="420"/>
        <v>theater</v>
      </c>
      <c r="R3599" t="str">
        <f t="shared" si="421"/>
        <v>plays</v>
      </c>
      <c r="S3599" s="9">
        <f t="shared" si="418"/>
        <v>42417.377199074072</v>
      </c>
      <c r="T3599" s="9">
        <f t="shared" si="419"/>
        <v>42432.040972222218</v>
      </c>
    </row>
    <row r="3600" spans="1:20" ht="29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416"/>
        <v>1.101</v>
      </c>
      <c r="P3600">
        <f t="shared" si="417"/>
        <v>1050.5</v>
      </c>
      <c r="Q3600" t="str">
        <f t="shared" si="420"/>
        <v>theater</v>
      </c>
      <c r="R3600" t="str">
        <f t="shared" si="421"/>
        <v>plays</v>
      </c>
      <c r="S3600" s="9">
        <f t="shared" si="418"/>
        <v>41866.590532407405</v>
      </c>
      <c r="T3600" s="9">
        <f t="shared" si="419"/>
        <v>41884.999305555553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416"/>
        <v>2.02</v>
      </c>
      <c r="P3601">
        <f t="shared" si="417"/>
        <v>755</v>
      </c>
      <c r="Q3601" t="str">
        <f t="shared" si="420"/>
        <v>theater</v>
      </c>
      <c r="R3601" t="str">
        <f t="shared" si="421"/>
        <v>plays</v>
      </c>
      <c r="S3601" s="9">
        <f t="shared" si="418"/>
        <v>42220.586539351854</v>
      </c>
      <c r="T3601" s="9">
        <f t="shared" si="419"/>
        <v>42245.791666666664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416"/>
        <v>1.3</v>
      </c>
      <c r="P3602">
        <f t="shared" si="417"/>
        <v>11.5</v>
      </c>
      <c r="Q3602" t="str">
        <f t="shared" si="420"/>
        <v>theater</v>
      </c>
      <c r="R3602" t="str">
        <f t="shared" si="421"/>
        <v>plays</v>
      </c>
      <c r="S3602" s="9">
        <f t="shared" si="418"/>
        <v>42628.640787037039</v>
      </c>
      <c r="T3602" s="9">
        <f t="shared" si="419"/>
        <v>42656.640787037039</v>
      </c>
    </row>
    <row r="3603" spans="1:20" ht="29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416"/>
        <v>1.0435000000000001</v>
      </c>
      <c r="P3603">
        <f t="shared" si="417"/>
        <v>2043.5</v>
      </c>
      <c r="Q3603" t="str">
        <f t="shared" si="420"/>
        <v>theater</v>
      </c>
      <c r="R3603" t="str">
        <f t="shared" si="421"/>
        <v>plays</v>
      </c>
      <c r="S3603" s="9">
        <f t="shared" si="418"/>
        <v>41990.790300925924</v>
      </c>
      <c r="T3603" s="9">
        <f t="shared" si="419"/>
        <v>42020.790300925924</v>
      </c>
    </row>
    <row r="3604" spans="1:20" ht="43.5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416"/>
        <v>1.0004999999999999</v>
      </c>
      <c r="P3604">
        <f t="shared" si="417"/>
        <v>4001</v>
      </c>
      <c r="Q3604" t="str">
        <f t="shared" si="420"/>
        <v>theater</v>
      </c>
      <c r="R3604" t="str">
        <f t="shared" si="421"/>
        <v>plays</v>
      </c>
      <c r="S3604" s="9">
        <f t="shared" si="418"/>
        <v>42447.68609953703</v>
      </c>
      <c r="T3604" s="9">
        <f t="shared" si="419"/>
        <v>42507.68609953703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416"/>
        <v>1.7066666666666668</v>
      </c>
      <c r="P3605">
        <f t="shared" si="417"/>
        <v>2030</v>
      </c>
      <c r="Q3605" t="str">
        <f t="shared" si="420"/>
        <v>theater</v>
      </c>
      <c r="R3605" t="str">
        <f t="shared" si="421"/>
        <v>plays</v>
      </c>
      <c r="S3605" s="9">
        <f t="shared" si="418"/>
        <v>42283.656018518515</v>
      </c>
      <c r="T3605" s="9">
        <f t="shared" si="419"/>
        <v>42313.697685185187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416"/>
        <v>1.1283333333333334</v>
      </c>
      <c r="P3606">
        <f t="shared" si="417"/>
        <v>3192.5</v>
      </c>
      <c r="Q3606" t="str">
        <f t="shared" si="420"/>
        <v>theater</v>
      </c>
      <c r="R3606" t="str">
        <f t="shared" si="421"/>
        <v>plays</v>
      </c>
      <c r="S3606" s="9">
        <f t="shared" si="418"/>
        <v>42482.80736111111</v>
      </c>
      <c r="T3606" s="9">
        <f t="shared" si="419"/>
        <v>42489.082638888889</v>
      </c>
    </row>
    <row r="3607" spans="1:20" ht="43.5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416"/>
        <v>1.84</v>
      </c>
      <c r="P3607">
        <f t="shared" si="417"/>
        <v>355</v>
      </c>
      <c r="Q3607" t="str">
        <f t="shared" si="420"/>
        <v>theater</v>
      </c>
      <c r="R3607" t="str">
        <f t="shared" si="421"/>
        <v>plays</v>
      </c>
      <c r="S3607" s="9">
        <f t="shared" si="418"/>
        <v>42383.584791666661</v>
      </c>
      <c r="T3607" s="9">
        <f t="shared" si="419"/>
        <v>42413.584791666661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416"/>
        <v>1.3026666666666666</v>
      </c>
      <c r="P3608">
        <f t="shared" si="417"/>
        <v>3454</v>
      </c>
      <c r="Q3608" t="str">
        <f t="shared" si="420"/>
        <v>theater</v>
      </c>
      <c r="R3608" t="str">
        <f t="shared" si="421"/>
        <v>plays</v>
      </c>
      <c r="S3608" s="9">
        <f t="shared" si="418"/>
        <v>42566.396493055552</v>
      </c>
      <c r="T3608" s="9">
        <f t="shared" si="419"/>
        <v>42596.396493055552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416"/>
        <v>1.0545454545454545</v>
      </c>
      <c r="P3609">
        <f t="shared" si="417"/>
        <v>565</v>
      </c>
      <c r="Q3609" t="str">
        <f t="shared" si="420"/>
        <v>theater</v>
      </c>
      <c r="R3609" t="str">
        <f t="shared" si="421"/>
        <v>plays</v>
      </c>
      <c r="S3609" s="9">
        <f t="shared" si="418"/>
        <v>42338.755578703705</v>
      </c>
      <c r="T3609" s="9">
        <f t="shared" si="419"/>
        <v>42352.791666666664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416"/>
        <v>1</v>
      </c>
      <c r="P3610">
        <f t="shared" si="417"/>
        <v>800</v>
      </c>
      <c r="Q3610" t="str">
        <f t="shared" si="420"/>
        <v>theater</v>
      </c>
      <c r="R3610" t="str">
        <f t="shared" si="421"/>
        <v>plays</v>
      </c>
      <c r="S3610" s="9">
        <f t="shared" si="418"/>
        <v>42506.501041666663</v>
      </c>
      <c r="T3610" s="9">
        <f t="shared" si="419"/>
        <v>42538.374999999993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416"/>
        <v>1.5331632653061225</v>
      </c>
      <c r="P3611">
        <f t="shared" si="417"/>
        <v>2482.5</v>
      </c>
      <c r="Q3611" t="str">
        <f t="shared" si="420"/>
        <v>theater</v>
      </c>
      <c r="R3611" t="str">
        <f t="shared" si="421"/>
        <v>plays</v>
      </c>
      <c r="S3611" s="9">
        <f t="shared" si="418"/>
        <v>42429.783391203702</v>
      </c>
      <c r="T3611" s="9">
        <f t="shared" si="419"/>
        <v>42459.741724537038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416"/>
        <v>1.623</v>
      </c>
      <c r="P3612">
        <f t="shared" si="417"/>
        <v>1311.5</v>
      </c>
      <c r="Q3612" t="str">
        <f t="shared" si="420"/>
        <v>theater</v>
      </c>
      <c r="R3612" t="str">
        <f t="shared" si="421"/>
        <v>plays</v>
      </c>
      <c r="S3612" s="9">
        <f t="shared" si="418"/>
        <v>42203.22379629629</v>
      </c>
      <c r="T3612" s="9">
        <f t="shared" si="419"/>
        <v>42233.22379629629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416"/>
        <v>1.36</v>
      </c>
      <c r="P3613">
        <f t="shared" si="417"/>
        <v>2950</v>
      </c>
      <c r="Q3613" t="str">
        <f t="shared" si="420"/>
        <v>theater</v>
      </c>
      <c r="R3613" t="str">
        <f t="shared" si="421"/>
        <v>plays</v>
      </c>
      <c r="S3613" s="9">
        <f t="shared" si="418"/>
        <v>42072.162048611113</v>
      </c>
      <c r="T3613" s="9">
        <f t="shared" si="419"/>
        <v>42102.162048611113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416"/>
        <v>1.444</v>
      </c>
      <c r="P3614">
        <f t="shared" si="417"/>
        <v>6110</v>
      </c>
      <c r="Q3614" t="str">
        <f t="shared" si="420"/>
        <v>theater</v>
      </c>
      <c r="R3614" t="str">
        <f t="shared" si="421"/>
        <v>plays</v>
      </c>
      <c r="S3614" s="9">
        <f t="shared" si="418"/>
        <v>41789.518645833326</v>
      </c>
      <c r="T3614" s="9">
        <f t="shared" si="419"/>
        <v>41799.518645833326</v>
      </c>
    </row>
    <row r="3615" spans="1:20" ht="29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416"/>
        <v>1</v>
      </c>
      <c r="P3615">
        <f t="shared" si="417"/>
        <v>1250</v>
      </c>
      <c r="Q3615" t="str">
        <f t="shared" si="420"/>
        <v>theater</v>
      </c>
      <c r="R3615" t="str">
        <f t="shared" si="421"/>
        <v>plays</v>
      </c>
      <c r="S3615" s="9">
        <f t="shared" si="418"/>
        <v>41788.381643518514</v>
      </c>
      <c r="T3615" s="9">
        <f t="shared" si="419"/>
        <v>41818.381643518514</v>
      </c>
    </row>
    <row r="3616" spans="1:20" ht="29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416"/>
        <v>1.008</v>
      </c>
      <c r="P3616">
        <f t="shared" si="417"/>
        <v>2510</v>
      </c>
      <c r="Q3616" t="str">
        <f t="shared" si="420"/>
        <v>theater</v>
      </c>
      <c r="R3616" t="str">
        <f t="shared" si="421"/>
        <v>plays</v>
      </c>
      <c r="S3616" s="9">
        <f t="shared" si="418"/>
        <v>42143.833518518521</v>
      </c>
      <c r="T3616" s="9">
        <f t="shared" si="419"/>
        <v>42173.833518518521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416"/>
        <v>1.0680000000000001</v>
      </c>
      <c r="P3617">
        <f t="shared" si="417"/>
        <v>2585</v>
      </c>
      <c r="Q3617" t="str">
        <f t="shared" si="420"/>
        <v>theater</v>
      </c>
      <c r="R3617" t="str">
        <f t="shared" si="421"/>
        <v>plays</v>
      </c>
      <c r="S3617" s="9">
        <f t="shared" si="418"/>
        <v>42318.385370370372</v>
      </c>
      <c r="T3617" s="9">
        <f t="shared" si="419"/>
        <v>42348.385370370372</v>
      </c>
    </row>
    <row r="3618" spans="1:20" ht="43.5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416"/>
        <v>1.248</v>
      </c>
      <c r="P3618">
        <f t="shared" si="417"/>
        <v>2810</v>
      </c>
      <c r="Q3618" t="str">
        <f t="shared" si="420"/>
        <v>theater</v>
      </c>
      <c r="R3618" t="str">
        <f t="shared" si="421"/>
        <v>plays</v>
      </c>
      <c r="S3618" s="9">
        <f t="shared" si="418"/>
        <v>42052.741481481477</v>
      </c>
      <c r="T3618" s="9">
        <f t="shared" si="419"/>
        <v>42082.699814814812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416"/>
        <v>1.1891891891891893</v>
      </c>
      <c r="P3619">
        <f t="shared" si="417"/>
        <v>810</v>
      </c>
      <c r="Q3619" t="str">
        <f t="shared" si="420"/>
        <v>theater</v>
      </c>
      <c r="R3619" t="str">
        <f t="shared" si="421"/>
        <v>plays</v>
      </c>
      <c r="S3619" s="9">
        <f t="shared" si="418"/>
        <v>42779.401956018519</v>
      </c>
      <c r="T3619" s="9">
        <f t="shared" si="419"/>
        <v>42793.791666666664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416"/>
        <v>1.01</v>
      </c>
      <c r="P3620">
        <f t="shared" si="417"/>
        <v>2010</v>
      </c>
      <c r="Q3620" t="str">
        <f t="shared" si="420"/>
        <v>theater</v>
      </c>
      <c r="R3620" t="str">
        <f t="shared" si="421"/>
        <v>plays</v>
      </c>
      <c r="S3620" s="9">
        <f t="shared" si="418"/>
        <v>42128.419560185182</v>
      </c>
      <c r="T3620" s="9">
        <f t="shared" si="419"/>
        <v>42158.419560185182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416"/>
        <v>1.1299999999999999</v>
      </c>
      <c r="P3621">
        <f t="shared" si="417"/>
        <v>1065</v>
      </c>
      <c r="Q3621" t="str">
        <f t="shared" si="420"/>
        <v>theater</v>
      </c>
      <c r="R3621" t="str">
        <f t="shared" si="421"/>
        <v>plays</v>
      </c>
      <c r="S3621" s="9">
        <f t="shared" si="418"/>
        <v>42660.923912037033</v>
      </c>
      <c r="T3621" s="9">
        <f t="shared" si="419"/>
        <v>42693.708333333336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416"/>
        <v>1.0519047619047619</v>
      </c>
      <c r="P3622">
        <f t="shared" si="417"/>
        <v>10772.5</v>
      </c>
      <c r="Q3622" t="str">
        <f t="shared" si="420"/>
        <v>theater</v>
      </c>
      <c r="R3622" t="str">
        <f t="shared" si="421"/>
        <v>plays</v>
      </c>
      <c r="S3622" s="9">
        <f t="shared" si="418"/>
        <v>42037.72987268518</v>
      </c>
      <c r="T3622" s="9">
        <f t="shared" si="419"/>
        <v>42067.958333333336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416"/>
        <v>1.0973333333333333</v>
      </c>
      <c r="P3623">
        <f t="shared" si="417"/>
        <v>3146</v>
      </c>
      <c r="Q3623" t="str">
        <f t="shared" si="420"/>
        <v>theater</v>
      </c>
      <c r="R3623" t="str">
        <f t="shared" si="421"/>
        <v>plays</v>
      </c>
      <c r="S3623" s="9">
        <f t="shared" si="418"/>
        <v>42619.727361111109</v>
      </c>
      <c r="T3623" s="9">
        <f t="shared" si="419"/>
        <v>42643.666666666664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416"/>
        <v>1.00099</v>
      </c>
      <c r="P3624">
        <f t="shared" si="417"/>
        <v>1000.495</v>
      </c>
      <c r="Q3624" t="str">
        <f t="shared" si="420"/>
        <v>theater</v>
      </c>
      <c r="R3624" t="str">
        <f t="shared" si="421"/>
        <v>plays</v>
      </c>
      <c r="S3624" s="9">
        <f t="shared" si="418"/>
        <v>41877.013553240737</v>
      </c>
      <c r="T3624" s="9">
        <f t="shared" si="419"/>
        <v>41909.932638888888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416"/>
        <v>1.2</v>
      </c>
      <c r="P3625">
        <f t="shared" si="417"/>
        <v>2750</v>
      </c>
      <c r="Q3625" t="str">
        <f t="shared" si="420"/>
        <v>theater</v>
      </c>
      <c r="R3625" t="str">
        <f t="shared" si="421"/>
        <v>plays</v>
      </c>
      <c r="S3625" s="9">
        <f t="shared" si="418"/>
        <v>41828.528587962959</v>
      </c>
      <c r="T3625" s="9">
        <f t="shared" si="419"/>
        <v>41846.083333333328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416"/>
        <v>1.0493333333333332</v>
      </c>
      <c r="P3626">
        <f t="shared" si="417"/>
        <v>3074</v>
      </c>
      <c r="Q3626" t="str">
        <f t="shared" si="420"/>
        <v>theater</v>
      </c>
      <c r="R3626" t="str">
        <f t="shared" si="421"/>
        <v>plays</v>
      </c>
      <c r="S3626" s="9">
        <f t="shared" si="418"/>
        <v>42545.56585648148</v>
      </c>
      <c r="T3626" s="9">
        <f t="shared" si="419"/>
        <v>42605.56585648148</v>
      </c>
    </row>
    <row r="3627" spans="1:20" ht="43.5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416"/>
        <v>1.0266666666666666</v>
      </c>
      <c r="P3627">
        <f t="shared" si="417"/>
        <v>3040</v>
      </c>
      <c r="Q3627" t="str">
        <f t="shared" si="420"/>
        <v>theater</v>
      </c>
      <c r="R3627" t="str">
        <f t="shared" si="421"/>
        <v>plays</v>
      </c>
      <c r="S3627" s="9">
        <f t="shared" si="418"/>
        <v>42157.444178240738</v>
      </c>
      <c r="T3627" s="9">
        <f t="shared" si="419"/>
        <v>42187.444178240738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416"/>
        <v>1.0182500000000001</v>
      </c>
      <c r="P3628">
        <f t="shared" si="417"/>
        <v>4036.5</v>
      </c>
      <c r="Q3628" t="str">
        <f t="shared" si="420"/>
        <v>theater</v>
      </c>
      <c r="R3628" t="str">
        <f t="shared" si="421"/>
        <v>plays</v>
      </c>
      <c r="S3628" s="9">
        <f t="shared" si="418"/>
        <v>41846.458993055552</v>
      </c>
      <c r="T3628" s="9">
        <f t="shared" si="419"/>
        <v>41867.458993055552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416"/>
        <v>1</v>
      </c>
      <c r="P3629">
        <f t="shared" si="417"/>
        <v>2000</v>
      </c>
      <c r="Q3629" t="str">
        <f t="shared" si="420"/>
        <v>theater</v>
      </c>
      <c r="R3629" t="str">
        <f t="shared" si="421"/>
        <v>plays</v>
      </c>
      <c r="S3629" s="9">
        <f t="shared" si="418"/>
        <v>42460.533414351848</v>
      </c>
      <c r="T3629" s="9">
        <f t="shared" si="419"/>
        <v>42510.957638888889</v>
      </c>
    </row>
    <row r="3630" spans="1:20" ht="43.5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416"/>
        <v>0</v>
      </c>
      <c r="P3630">
        <f t="shared" si="417"/>
        <v>50000</v>
      </c>
      <c r="Q3630" t="b">
        <f t="shared" si="420"/>
        <v>0</v>
      </c>
      <c r="R3630" t="b">
        <f t="shared" si="421"/>
        <v>0</v>
      </c>
      <c r="S3630" s="9">
        <f t="shared" si="418"/>
        <v>42291.6249537037</v>
      </c>
      <c r="T3630" s="9">
        <f t="shared" si="419"/>
        <v>42351.666620370372</v>
      </c>
    </row>
    <row r="3631" spans="1:20" ht="43.5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416"/>
        <v>1.9999999999999999E-6</v>
      </c>
      <c r="P3631">
        <f t="shared" si="417"/>
        <v>500001</v>
      </c>
      <c r="Q3631" t="b">
        <f t="shared" si="420"/>
        <v>0</v>
      </c>
      <c r="R3631" t="b">
        <f t="shared" si="421"/>
        <v>0</v>
      </c>
      <c r="S3631" s="9">
        <f t="shared" si="418"/>
        <v>42436.886157407404</v>
      </c>
      <c r="T3631" s="9">
        <f t="shared" si="419"/>
        <v>42495.499999999993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416"/>
        <v>3.3333333333333332E-4</v>
      </c>
      <c r="P3632">
        <f t="shared" si="417"/>
        <v>1500.5</v>
      </c>
      <c r="Q3632" t="b">
        <f t="shared" si="420"/>
        <v>0</v>
      </c>
      <c r="R3632" t="b">
        <f t="shared" si="421"/>
        <v>0</v>
      </c>
      <c r="S3632" s="9">
        <f t="shared" si="418"/>
        <v>41942.638773148145</v>
      </c>
      <c r="T3632" s="9">
        <f t="shared" si="419"/>
        <v>41972.680439814816</v>
      </c>
    </row>
    <row r="3633" spans="1:20" ht="43.5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416"/>
        <v>0.51023391812865493</v>
      </c>
      <c r="P3633">
        <f t="shared" si="417"/>
        <v>12912.5</v>
      </c>
      <c r="Q3633" t="b">
        <f t="shared" si="420"/>
        <v>0</v>
      </c>
      <c r="R3633" t="b">
        <f t="shared" si="421"/>
        <v>0</v>
      </c>
      <c r="S3633" s="9">
        <f t="shared" si="418"/>
        <v>41880.54510416666</v>
      </c>
      <c r="T3633" s="9">
        <f t="shared" si="419"/>
        <v>41904.957638888889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416"/>
        <v>0.2</v>
      </c>
      <c r="P3634">
        <f t="shared" si="417"/>
        <v>300</v>
      </c>
      <c r="Q3634" t="b">
        <f t="shared" si="420"/>
        <v>0</v>
      </c>
      <c r="R3634" t="b">
        <f t="shared" si="421"/>
        <v>0</v>
      </c>
      <c r="S3634" s="9">
        <f t="shared" si="418"/>
        <v>41946.728576388887</v>
      </c>
      <c r="T3634" s="9">
        <f t="shared" si="419"/>
        <v>41966.728576388887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416"/>
        <v>0.35239999999999999</v>
      </c>
      <c r="P3635">
        <f t="shared" si="417"/>
        <v>3381</v>
      </c>
      <c r="Q3635" t="b">
        <f t="shared" si="420"/>
        <v>0</v>
      </c>
      <c r="R3635" t="b">
        <f t="shared" si="421"/>
        <v>0</v>
      </c>
      <c r="S3635" s="9">
        <f t="shared" si="418"/>
        <v>42649.415127314809</v>
      </c>
      <c r="T3635" s="9">
        <f t="shared" si="419"/>
        <v>42692.833333333336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416"/>
        <v>4.2466666666666666E-2</v>
      </c>
      <c r="P3636">
        <f t="shared" si="417"/>
        <v>39092.5</v>
      </c>
      <c r="Q3636" t="b">
        <f t="shared" si="420"/>
        <v>0</v>
      </c>
      <c r="R3636" t="b">
        <f t="shared" si="421"/>
        <v>0</v>
      </c>
      <c r="S3636" s="9">
        <f t="shared" si="418"/>
        <v>42700.958032407405</v>
      </c>
      <c r="T3636" s="9">
        <f t="shared" si="419"/>
        <v>42748.957638888889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416"/>
        <v>0.36457142857142855</v>
      </c>
      <c r="P3637">
        <f t="shared" si="417"/>
        <v>2388</v>
      </c>
      <c r="Q3637" t="b">
        <f t="shared" si="420"/>
        <v>0</v>
      </c>
      <c r="R3637" t="b">
        <f t="shared" si="421"/>
        <v>0</v>
      </c>
      <c r="S3637" s="9">
        <f t="shared" si="418"/>
        <v>42450.674490740734</v>
      </c>
      <c r="T3637" s="9">
        <f t="shared" si="419"/>
        <v>42480.674490740734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416"/>
        <v>0</v>
      </c>
      <c r="P3638">
        <f t="shared" si="417"/>
        <v>75000</v>
      </c>
      <c r="Q3638" t="b">
        <f t="shared" si="420"/>
        <v>0</v>
      </c>
      <c r="R3638" t="b">
        <f t="shared" si="421"/>
        <v>0</v>
      </c>
      <c r="S3638" s="9">
        <f t="shared" si="418"/>
        <v>42226.486446759256</v>
      </c>
      <c r="T3638" s="9">
        <f t="shared" si="419"/>
        <v>42261.486446759256</v>
      </c>
    </row>
    <row r="3639" spans="1:20" ht="43.5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416"/>
        <v>0.30866666666666664</v>
      </c>
      <c r="P3639">
        <f t="shared" si="417"/>
        <v>1963</v>
      </c>
      <c r="Q3639" t="b">
        <f t="shared" si="420"/>
        <v>0</v>
      </c>
      <c r="R3639" t="b">
        <f t="shared" si="421"/>
        <v>0</v>
      </c>
      <c r="S3639" s="9">
        <f t="shared" si="418"/>
        <v>41975.492303240739</v>
      </c>
      <c r="T3639" s="9">
        <f t="shared" si="419"/>
        <v>42005.492303240739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416"/>
        <v>6.545454545454546E-2</v>
      </c>
      <c r="P3640">
        <f t="shared" si="417"/>
        <v>1758</v>
      </c>
      <c r="Q3640" t="b">
        <f t="shared" si="420"/>
        <v>0</v>
      </c>
      <c r="R3640" t="b">
        <f t="shared" si="421"/>
        <v>0</v>
      </c>
      <c r="S3640" s="9">
        <f t="shared" si="418"/>
        <v>42053.464490740742</v>
      </c>
      <c r="T3640" s="9">
        <f t="shared" si="419"/>
        <v>42113.42282407407</v>
      </c>
    </row>
    <row r="3641" spans="1:20" ht="43.5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416"/>
        <v>4.0000000000000003E-5</v>
      </c>
      <c r="P3641">
        <f t="shared" si="417"/>
        <v>12500.5</v>
      </c>
      <c r="Q3641" t="b">
        <f t="shared" si="420"/>
        <v>0</v>
      </c>
      <c r="R3641" t="b">
        <f t="shared" si="421"/>
        <v>0</v>
      </c>
      <c r="S3641" s="9">
        <f t="shared" si="418"/>
        <v>42590.468819444439</v>
      </c>
      <c r="T3641" s="9">
        <f t="shared" si="419"/>
        <v>42650.424305555549</v>
      </c>
    </row>
    <row r="3642" spans="1:20" ht="58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416"/>
        <v>5.5E-2</v>
      </c>
      <c r="P3642">
        <f t="shared" si="417"/>
        <v>527.5</v>
      </c>
      <c r="Q3642" t="b">
        <f t="shared" si="420"/>
        <v>0</v>
      </c>
      <c r="R3642" t="b">
        <f t="shared" si="421"/>
        <v>0</v>
      </c>
      <c r="S3642" s="9">
        <f t="shared" si="418"/>
        <v>42104.573263888888</v>
      </c>
      <c r="T3642" s="9">
        <f t="shared" si="419"/>
        <v>42134.573263888888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416"/>
        <v>0</v>
      </c>
      <c r="P3643">
        <f t="shared" si="417"/>
        <v>1500</v>
      </c>
      <c r="Q3643" t="b">
        <f t="shared" si="420"/>
        <v>0</v>
      </c>
      <c r="R3643" t="b">
        <f t="shared" si="421"/>
        <v>0</v>
      </c>
      <c r="S3643" s="9">
        <f t="shared" si="418"/>
        <v>41899.41873842592</v>
      </c>
      <c r="T3643" s="9">
        <f t="shared" si="419"/>
        <v>41917</v>
      </c>
    </row>
    <row r="3644" spans="1:20" ht="43.5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416"/>
        <v>2.1428571428571429E-2</v>
      </c>
      <c r="P3644">
        <f t="shared" si="417"/>
        <v>357.5</v>
      </c>
      <c r="Q3644" t="b">
        <f t="shared" si="420"/>
        <v>0</v>
      </c>
      <c r="R3644" t="b">
        <f t="shared" si="421"/>
        <v>0</v>
      </c>
      <c r="S3644" s="9">
        <f t="shared" si="418"/>
        <v>42297.607951388891</v>
      </c>
      <c r="T3644" s="9">
        <f t="shared" si="419"/>
        <v>42338.499999999993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416"/>
        <v>0</v>
      </c>
      <c r="P3645">
        <f t="shared" si="417"/>
        <v>12500</v>
      </c>
      <c r="Q3645" t="b">
        <f t="shared" si="420"/>
        <v>0</v>
      </c>
      <c r="R3645" t="b">
        <f t="shared" si="421"/>
        <v>0</v>
      </c>
      <c r="S3645" s="9">
        <f t="shared" si="418"/>
        <v>42284.935636574075</v>
      </c>
      <c r="T3645" s="9">
        <f t="shared" si="419"/>
        <v>42324.977303240739</v>
      </c>
    </row>
    <row r="3646" spans="1:20" ht="29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416"/>
        <v>0.16420000000000001</v>
      </c>
      <c r="P3646">
        <f t="shared" si="417"/>
        <v>2910.5</v>
      </c>
      <c r="Q3646" t="b">
        <f t="shared" si="420"/>
        <v>0</v>
      </c>
      <c r="R3646" t="b">
        <f t="shared" si="421"/>
        <v>0</v>
      </c>
      <c r="S3646" s="9">
        <f t="shared" si="418"/>
        <v>42409.033414351848</v>
      </c>
      <c r="T3646" s="9">
        <f t="shared" si="419"/>
        <v>42436.999305555553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416"/>
        <v>1E-3</v>
      </c>
      <c r="P3647">
        <f t="shared" si="417"/>
        <v>500.5</v>
      </c>
      <c r="Q3647" t="b">
        <f t="shared" si="420"/>
        <v>0</v>
      </c>
      <c r="R3647" t="b">
        <f t="shared" si="421"/>
        <v>0</v>
      </c>
      <c r="S3647" s="9">
        <f t="shared" si="418"/>
        <v>42665.762013888881</v>
      </c>
      <c r="T3647" s="9">
        <f t="shared" si="419"/>
        <v>42695.803680555553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416"/>
        <v>4.8099999999999997E-2</v>
      </c>
      <c r="P3648">
        <f t="shared" si="417"/>
        <v>5240.5</v>
      </c>
      <c r="Q3648" t="b">
        <f t="shared" si="420"/>
        <v>0</v>
      </c>
      <c r="R3648" t="b">
        <f t="shared" si="421"/>
        <v>0</v>
      </c>
      <c r="S3648" s="9">
        <f t="shared" si="418"/>
        <v>42140.21298611111</v>
      </c>
      <c r="T3648" s="9">
        <f t="shared" si="419"/>
        <v>42171.770833333336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416"/>
        <v>0.06</v>
      </c>
      <c r="P3649">
        <f t="shared" si="417"/>
        <v>265</v>
      </c>
      <c r="Q3649" t="b">
        <f t="shared" si="420"/>
        <v>0</v>
      </c>
      <c r="R3649" t="b">
        <f t="shared" si="421"/>
        <v>0</v>
      </c>
      <c r="S3649" s="9">
        <f t="shared" si="418"/>
        <v>42598.540821759256</v>
      </c>
      <c r="T3649" s="9">
        <f t="shared" si="419"/>
        <v>42643.540821759256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416"/>
        <v>1.003825</v>
      </c>
      <c r="P3650">
        <f t="shared" si="417"/>
        <v>40076.5</v>
      </c>
      <c r="Q3650" t="str">
        <f t="shared" si="420"/>
        <v>theater</v>
      </c>
      <c r="R3650" t="str">
        <f t="shared" si="421"/>
        <v>plays</v>
      </c>
      <c r="S3650" s="9">
        <f t="shared" si="418"/>
        <v>41887.083854166667</v>
      </c>
      <c r="T3650" s="9">
        <f t="shared" si="419"/>
        <v>41917.083854166667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422">E3651/D3651</f>
        <v>1.04</v>
      </c>
      <c r="P3651">
        <f t="shared" ref="P3651:P3714" si="423">AVERAGE(D3651:E3651)</f>
        <v>765</v>
      </c>
      <c r="Q3651" t="str">
        <f t="shared" si="420"/>
        <v>theater</v>
      </c>
      <c r="R3651" t="str">
        <f t="shared" si="421"/>
        <v>plays</v>
      </c>
      <c r="S3651" s="9">
        <f t="shared" ref="S3651:S3714" si="424">J3651/86400+25569+(-5/24)</f>
        <v>41780.504560185182</v>
      </c>
      <c r="T3651" s="9">
        <f t="shared" si="419"/>
        <v>41806.504560185182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422"/>
        <v>1</v>
      </c>
      <c r="P3652">
        <f t="shared" si="423"/>
        <v>500</v>
      </c>
      <c r="Q3652" t="str">
        <f t="shared" si="420"/>
        <v>theater</v>
      </c>
      <c r="R3652" t="str">
        <f t="shared" si="421"/>
        <v>plays</v>
      </c>
      <c r="S3652" s="9">
        <f t="shared" si="424"/>
        <v>42381.270648148151</v>
      </c>
      <c r="T3652" s="9">
        <f t="shared" ref="T3652:T3715" si="425">I3652/86400+25569+(-5/24)</f>
        <v>42402.270648148151</v>
      </c>
    </row>
    <row r="3653" spans="1:20" ht="29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422"/>
        <v>1.04</v>
      </c>
      <c r="P3653">
        <f t="shared" si="423"/>
        <v>510</v>
      </c>
      <c r="Q3653" t="str">
        <f t="shared" si="420"/>
        <v>theater</v>
      </c>
      <c r="R3653" t="str">
        <f t="shared" si="421"/>
        <v>plays</v>
      </c>
      <c r="S3653" s="9">
        <f t="shared" si="424"/>
        <v>41828.437986111108</v>
      </c>
      <c r="T3653" s="9">
        <f t="shared" si="425"/>
        <v>41861.457638888889</v>
      </c>
    </row>
    <row r="3654" spans="1:20" ht="43.5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422"/>
        <v>2.5066666666666668</v>
      </c>
      <c r="P3654">
        <f t="shared" si="423"/>
        <v>526</v>
      </c>
      <c r="Q3654" t="str">
        <f t="shared" si="420"/>
        <v>theater</v>
      </c>
      <c r="R3654" t="str">
        <f t="shared" si="421"/>
        <v>plays</v>
      </c>
      <c r="S3654" s="9">
        <f t="shared" si="424"/>
        <v>42596.436365740738</v>
      </c>
      <c r="T3654" s="9">
        <f t="shared" si="425"/>
        <v>42606.957638888889</v>
      </c>
    </row>
    <row r="3655" spans="1:20" ht="43.5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422"/>
        <v>1.0049999999999999</v>
      </c>
      <c r="P3655">
        <f t="shared" si="423"/>
        <v>2005</v>
      </c>
      <c r="Q3655" t="str">
        <f t="shared" si="420"/>
        <v>theater</v>
      </c>
      <c r="R3655" t="str">
        <f t="shared" si="421"/>
        <v>plays</v>
      </c>
      <c r="S3655" s="9">
        <f t="shared" si="424"/>
        <v>42191.155173611107</v>
      </c>
      <c r="T3655" s="9">
        <f t="shared" si="425"/>
        <v>42221.155173611107</v>
      </c>
    </row>
    <row r="3656" spans="1:20" ht="43.5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422"/>
        <v>1.744</v>
      </c>
      <c r="P3656">
        <f t="shared" si="423"/>
        <v>2058</v>
      </c>
      <c r="Q3656" t="str">
        <f t="shared" si="420"/>
        <v>theater</v>
      </c>
      <c r="R3656" t="str">
        <f t="shared" si="421"/>
        <v>plays</v>
      </c>
      <c r="S3656" s="9">
        <f t="shared" si="424"/>
        <v>42440.20817129629</v>
      </c>
      <c r="T3656" s="9">
        <f t="shared" si="425"/>
        <v>42463.499999999993</v>
      </c>
    </row>
    <row r="3657" spans="1:20" ht="43.5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422"/>
        <v>1.1626000000000001</v>
      </c>
      <c r="P3657">
        <f t="shared" si="423"/>
        <v>5406.5</v>
      </c>
      <c r="Q3657" t="str">
        <f t="shared" si="420"/>
        <v>theater</v>
      </c>
      <c r="R3657" t="str">
        <f t="shared" si="421"/>
        <v>plays</v>
      </c>
      <c r="S3657" s="9">
        <f t="shared" si="424"/>
        <v>42173.594884259255</v>
      </c>
      <c r="T3657" s="9">
        <f t="shared" si="425"/>
        <v>42203.082638888889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422"/>
        <v>1.0582</v>
      </c>
      <c r="P3658">
        <f t="shared" si="423"/>
        <v>5145.5</v>
      </c>
      <c r="Q3658" t="str">
        <f t="shared" si="420"/>
        <v>theater</v>
      </c>
      <c r="R3658" t="str">
        <f t="shared" si="421"/>
        <v>plays</v>
      </c>
      <c r="S3658" s="9">
        <f t="shared" si="424"/>
        <v>42737.701805555553</v>
      </c>
      <c r="T3658" s="9">
        <f t="shared" si="425"/>
        <v>42767.749305555553</v>
      </c>
    </row>
    <row r="3659" spans="1:20" ht="43.5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422"/>
        <v>1.1074999999999999</v>
      </c>
      <c r="P3659">
        <f t="shared" si="423"/>
        <v>2107.5</v>
      </c>
      <c r="Q3659" t="str">
        <f t="shared" ref="Q3659:Q3722" si="426">IF(N3659="theater/plays","theater")</f>
        <v>theater</v>
      </c>
      <c r="R3659" t="str">
        <f t="shared" ref="R3659:R3722" si="427">IF(N3659="theater/plays","plays")</f>
        <v>plays</v>
      </c>
      <c r="S3659" s="9">
        <f t="shared" si="424"/>
        <v>42499.4215162037</v>
      </c>
      <c r="T3659" s="9">
        <f t="shared" si="425"/>
        <v>42522.695833333331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422"/>
        <v>1.0066666666666666</v>
      </c>
      <c r="P3660">
        <f t="shared" si="423"/>
        <v>1505</v>
      </c>
      <c r="Q3660" t="str">
        <f t="shared" si="426"/>
        <v>theater</v>
      </c>
      <c r="R3660" t="str">
        <f t="shared" si="427"/>
        <v>plays</v>
      </c>
      <c r="S3660" s="9">
        <f t="shared" si="424"/>
        <v>41775.650231481479</v>
      </c>
      <c r="T3660" s="9">
        <f t="shared" si="425"/>
        <v>41821.957638888889</v>
      </c>
    </row>
    <row r="3661" spans="1:20" ht="29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422"/>
        <v>1.0203333333333333</v>
      </c>
      <c r="P3661">
        <f t="shared" si="423"/>
        <v>3030.5</v>
      </c>
      <c r="Q3661" t="str">
        <f t="shared" si="426"/>
        <v>theater</v>
      </c>
      <c r="R3661" t="str">
        <f t="shared" si="427"/>
        <v>plays</v>
      </c>
      <c r="S3661" s="9">
        <f t="shared" si="424"/>
        <v>42055.068865740737</v>
      </c>
      <c r="T3661" s="9">
        <f t="shared" si="425"/>
        <v>42082.402083333327</v>
      </c>
    </row>
    <row r="3662" spans="1:20" ht="43.5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422"/>
        <v>1</v>
      </c>
      <c r="P3662">
        <f t="shared" si="423"/>
        <v>250</v>
      </c>
      <c r="Q3662" t="str">
        <f t="shared" si="426"/>
        <v>theater</v>
      </c>
      <c r="R3662" t="str">
        <f t="shared" si="427"/>
        <v>plays</v>
      </c>
      <c r="S3662" s="9">
        <f t="shared" si="424"/>
        <v>41971.672743055555</v>
      </c>
      <c r="T3662" s="9">
        <f t="shared" si="425"/>
        <v>41996.672743055555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422"/>
        <v>1.1100000000000001</v>
      </c>
      <c r="P3663">
        <f t="shared" si="423"/>
        <v>3165</v>
      </c>
      <c r="Q3663" t="str">
        <f t="shared" si="426"/>
        <v>theater</v>
      </c>
      <c r="R3663" t="str">
        <f t="shared" si="427"/>
        <v>plays</v>
      </c>
      <c r="S3663" s="9">
        <f t="shared" si="424"/>
        <v>42447.688333333332</v>
      </c>
      <c r="T3663" s="9">
        <f t="shared" si="425"/>
        <v>42469.958333333336</v>
      </c>
    </row>
    <row r="3664" spans="1:20" ht="43.5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422"/>
        <v>1.0142500000000001</v>
      </c>
      <c r="P3664">
        <f t="shared" si="423"/>
        <v>8057</v>
      </c>
      <c r="Q3664" t="str">
        <f t="shared" si="426"/>
        <v>theater</v>
      </c>
      <c r="R3664" t="str">
        <f t="shared" si="427"/>
        <v>plays</v>
      </c>
      <c r="S3664" s="9">
        <f t="shared" si="424"/>
        <v>42064.011736111112</v>
      </c>
      <c r="T3664" s="9">
        <f t="shared" si="425"/>
        <v>42093.97006944444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422"/>
        <v>1.04</v>
      </c>
      <c r="P3665">
        <f t="shared" si="423"/>
        <v>229.5</v>
      </c>
      <c r="Q3665" t="str">
        <f t="shared" si="426"/>
        <v>theater</v>
      </c>
      <c r="R3665" t="str">
        <f t="shared" si="427"/>
        <v>plays</v>
      </c>
      <c r="S3665" s="9">
        <f t="shared" si="424"/>
        <v>42665.243402777771</v>
      </c>
      <c r="T3665" s="9">
        <f t="shared" si="425"/>
        <v>42725.285069444442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422"/>
        <v>1.09375</v>
      </c>
      <c r="P3666">
        <f t="shared" si="423"/>
        <v>837.5</v>
      </c>
      <c r="Q3666" t="str">
        <f t="shared" si="426"/>
        <v>theater</v>
      </c>
      <c r="R3666" t="str">
        <f t="shared" si="427"/>
        <v>plays</v>
      </c>
      <c r="S3666" s="9">
        <f t="shared" si="424"/>
        <v>42523.04038194444</v>
      </c>
      <c r="T3666" s="9">
        <f t="shared" si="425"/>
        <v>42537.04038194444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422"/>
        <v>1.1516129032258065</v>
      </c>
      <c r="P3667">
        <f t="shared" si="423"/>
        <v>667</v>
      </c>
      <c r="Q3667" t="str">
        <f t="shared" si="426"/>
        <v>theater</v>
      </c>
      <c r="R3667" t="str">
        <f t="shared" si="427"/>
        <v>plays</v>
      </c>
      <c r="S3667" s="9">
        <f t="shared" si="424"/>
        <v>42294.59979166666</v>
      </c>
      <c r="T3667" s="9">
        <f t="shared" si="425"/>
        <v>42305.620833333327</v>
      </c>
    </row>
    <row r="3668" spans="1:20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422"/>
        <v>1</v>
      </c>
      <c r="P3668">
        <f t="shared" si="423"/>
        <v>1200</v>
      </c>
      <c r="Q3668" t="str">
        <f t="shared" si="426"/>
        <v>theater</v>
      </c>
      <c r="R3668" t="str">
        <f t="shared" si="427"/>
        <v>plays</v>
      </c>
      <c r="S3668" s="9">
        <f t="shared" si="424"/>
        <v>41822.696550925924</v>
      </c>
      <c r="T3668" s="9">
        <f t="shared" si="425"/>
        <v>41844.083333333328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422"/>
        <v>1.0317033333333334</v>
      </c>
      <c r="P3669">
        <f t="shared" si="423"/>
        <v>3047.5550000000003</v>
      </c>
      <c r="Q3669" t="str">
        <f t="shared" si="426"/>
        <v>theater</v>
      </c>
      <c r="R3669" t="str">
        <f t="shared" si="427"/>
        <v>plays</v>
      </c>
      <c r="S3669" s="9">
        <f t="shared" si="424"/>
        <v>42173.761793981474</v>
      </c>
      <c r="T3669" s="9">
        <f t="shared" si="425"/>
        <v>42203.761793981474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422"/>
        <v>1.0349999999999999</v>
      </c>
      <c r="P3670">
        <f t="shared" si="423"/>
        <v>1017.5</v>
      </c>
      <c r="Q3670" t="str">
        <f t="shared" si="426"/>
        <v>theater</v>
      </c>
      <c r="R3670" t="str">
        <f t="shared" si="427"/>
        <v>plays</v>
      </c>
      <c r="S3670" s="9">
        <f t="shared" si="424"/>
        <v>42185.347824074073</v>
      </c>
      <c r="T3670" s="9">
        <f t="shared" si="425"/>
        <v>42208.564583333333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422"/>
        <v>1.3819999999999999</v>
      </c>
      <c r="P3671">
        <f t="shared" si="423"/>
        <v>1191</v>
      </c>
      <c r="Q3671" t="str">
        <f t="shared" si="426"/>
        <v>theater</v>
      </c>
      <c r="R3671" t="str">
        <f t="shared" si="427"/>
        <v>plays</v>
      </c>
      <c r="S3671" s="9">
        <f t="shared" si="424"/>
        <v>42136.466863425921</v>
      </c>
      <c r="T3671" s="9">
        <f t="shared" si="425"/>
        <v>42166.466863425921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422"/>
        <v>1.0954545454545455</v>
      </c>
      <c r="P3672">
        <f t="shared" si="423"/>
        <v>230.5</v>
      </c>
      <c r="Q3672" t="str">
        <f t="shared" si="426"/>
        <v>theater</v>
      </c>
      <c r="R3672" t="str">
        <f t="shared" si="427"/>
        <v>plays</v>
      </c>
      <c r="S3672" s="9">
        <f t="shared" si="424"/>
        <v>42142.305682870363</v>
      </c>
      <c r="T3672" s="9">
        <f t="shared" si="425"/>
        <v>42155.749999999993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422"/>
        <v>1.0085714285714287</v>
      </c>
      <c r="P3673">
        <f t="shared" si="423"/>
        <v>3515</v>
      </c>
      <c r="Q3673" t="str">
        <f t="shared" si="426"/>
        <v>theater</v>
      </c>
      <c r="R3673" t="str">
        <f t="shared" si="427"/>
        <v>plays</v>
      </c>
      <c r="S3673" s="9">
        <f t="shared" si="424"/>
        <v>41820.419756944444</v>
      </c>
      <c r="T3673" s="9">
        <f t="shared" si="425"/>
        <v>41840.957638888889</v>
      </c>
    </row>
    <row r="3674" spans="1:20" ht="43.5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422"/>
        <v>1.0153333333333334</v>
      </c>
      <c r="P3674">
        <f t="shared" si="423"/>
        <v>3023</v>
      </c>
      <c r="Q3674" t="str">
        <f t="shared" si="426"/>
        <v>theater</v>
      </c>
      <c r="R3674" t="str">
        <f t="shared" si="427"/>
        <v>plays</v>
      </c>
      <c r="S3674" s="9">
        <f t="shared" si="424"/>
        <v>41878.738240740735</v>
      </c>
      <c r="T3674" s="9">
        <f t="shared" si="425"/>
        <v>41908.738240740735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422"/>
        <v>1.13625</v>
      </c>
      <c r="P3675">
        <f t="shared" si="423"/>
        <v>4272.5</v>
      </c>
      <c r="Q3675" t="str">
        <f t="shared" si="426"/>
        <v>theater</v>
      </c>
      <c r="R3675" t="str">
        <f t="shared" si="427"/>
        <v>plays</v>
      </c>
      <c r="S3675" s="9">
        <f t="shared" si="424"/>
        <v>41914.086770833332</v>
      </c>
      <c r="T3675" s="9">
        <f t="shared" si="425"/>
        <v>41948.327777777777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422"/>
        <v>1</v>
      </c>
      <c r="P3676">
        <f t="shared" si="423"/>
        <v>4500</v>
      </c>
      <c r="Q3676" t="str">
        <f t="shared" si="426"/>
        <v>theater</v>
      </c>
      <c r="R3676" t="str">
        <f t="shared" si="427"/>
        <v>plays</v>
      </c>
      <c r="S3676" s="9">
        <f t="shared" si="424"/>
        <v>42556.664687499993</v>
      </c>
      <c r="T3676" s="9">
        <f t="shared" si="425"/>
        <v>42616.664687499993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422"/>
        <v>1.4</v>
      </c>
      <c r="P3677">
        <f t="shared" si="423"/>
        <v>60</v>
      </c>
      <c r="Q3677" t="str">
        <f t="shared" si="426"/>
        <v>theater</v>
      </c>
      <c r="R3677" t="str">
        <f t="shared" si="427"/>
        <v>plays</v>
      </c>
      <c r="S3677" s="9">
        <f t="shared" si="424"/>
        <v>42493.388680555552</v>
      </c>
      <c r="T3677" s="9">
        <f t="shared" si="425"/>
        <v>42505.749999999993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422"/>
        <v>1.2875000000000001</v>
      </c>
      <c r="P3678">
        <f t="shared" si="423"/>
        <v>915</v>
      </c>
      <c r="Q3678" t="str">
        <f t="shared" si="426"/>
        <v>theater</v>
      </c>
      <c r="R3678" t="str">
        <f t="shared" si="427"/>
        <v>plays</v>
      </c>
      <c r="S3678" s="9">
        <f t="shared" si="424"/>
        <v>41876.607453703698</v>
      </c>
      <c r="T3678" s="9">
        <f t="shared" si="425"/>
        <v>41894.607453703698</v>
      </c>
    </row>
    <row r="3679" spans="1:20" ht="29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422"/>
        <v>1.0290416666666666</v>
      </c>
      <c r="P3679">
        <f t="shared" si="423"/>
        <v>12174.25</v>
      </c>
      <c r="Q3679" t="str">
        <f t="shared" si="426"/>
        <v>theater</v>
      </c>
      <c r="R3679" t="str">
        <f t="shared" si="427"/>
        <v>plays</v>
      </c>
      <c r="S3679" s="9">
        <f t="shared" si="424"/>
        <v>41802.365949074076</v>
      </c>
      <c r="T3679" s="9">
        <f t="shared" si="425"/>
        <v>41822.957638888889</v>
      </c>
    </row>
    <row r="3680" spans="1:20" ht="29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422"/>
        <v>1.0249999999999999</v>
      </c>
      <c r="P3680">
        <f t="shared" si="423"/>
        <v>2025</v>
      </c>
      <c r="Q3680" t="str">
        <f t="shared" si="426"/>
        <v>theater</v>
      </c>
      <c r="R3680" t="str">
        <f t="shared" si="427"/>
        <v>plays</v>
      </c>
      <c r="S3680" s="9">
        <f t="shared" si="424"/>
        <v>42120.322893518511</v>
      </c>
      <c r="T3680" s="9">
        <f t="shared" si="425"/>
        <v>42155.322893518511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422"/>
        <v>1.101</v>
      </c>
      <c r="P3681">
        <f t="shared" si="423"/>
        <v>2101</v>
      </c>
      <c r="Q3681" t="str">
        <f t="shared" si="426"/>
        <v>theater</v>
      </c>
      <c r="R3681" t="str">
        <f t="shared" si="427"/>
        <v>plays</v>
      </c>
      <c r="S3681" s="9">
        <f t="shared" si="424"/>
        <v>41786.553020833329</v>
      </c>
      <c r="T3681" s="9">
        <f t="shared" si="425"/>
        <v>41820.999305555553</v>
      </c>
    </row>
    <row r="3682" spans="1:20" ht="29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422"/>
        <v>1.1276666666666666</v>
      </c>
      <c r="P3682">
        <f t="shared" si="423"/>
        <v>3191.5</v>
      </c>
      <c r="Q3682" t="str">
        <f t="shared" si="426"/>
        <v>theater</v>
      </c>
      <c r="R3682" t="str">
        <f t="shared" si="427"/>
        <v>plays</v>
      </c>
      <c r="S3682" s="9">
        <f t="shared" si="424"/>
        <v>42627.245763888888</v>
      </c>
      <c r="T3682" s="9">
        <f t="shared" si="425"/>
        <v>42648.245763888888</v>
      </c>
    </row>
    <row r="3683" spans="1:20" ht="43.5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422"/>
        <v>1.119</v>
      </c>
      <c r="P3683">
        <f t="shared" si="423"/>
        <v>1059.5</v>
      </c>
      <c r="Q3683" t="str">
        <f t="shared" si="426"/>
        <v>theater</v>
      </c>
      <c r="R3683" t="str">
        <f t="shared" si="427"/>
        <v>plays</v>
      </c>
      <c r="S3683" s="9">
        <f t="shared" si="424"/>
        <v>42374.443171296291</v>
      </c>
      <c r="T3683" s="9">
        <f t="shared" si="425"/>
        <v>42384.443171296291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422"/>
        <v>1.3919999999999999</v>
      </c>
      <c r="P3684">
        <f t="shared" si="423"/>
        <v>3588</v>
      </c>
      <c r="Q3684" t="str">
        <f t="shared" si="426"/>
        <v>theater</v>
      </c>
      <c r="R3684" t="str">
        <f t="shared" si="427"/>
        <v>plays</v>
      </c>
      <c r="S3684" s="9">
        <f t="shared" si="424"/>
        <v>41772.477060185185</v>
      </c>
      <c r="T3684" s="9">
        <f t="shared" si="425"/>
        <v>41806.082638888889</v>
      </c>
    </row>
    <row r="3685" spans="1:20" ht="29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422"/>
        <v>1.1085714285714285</v>
      </c>
      <c r="P3685">
        <f t="shared" si="423"/>
        <v>3690</v>
      </c>
      <c r="Q3685" t="str">
        <f t="shared" si="426"/>
        <v>theater</v>
      </c>
      <c r="R3685" t="str">
        <f t="shared" si="427"/>
        <v>plays</v>
      </c>
      <c r="S3685" s="9">
        <f t="shared" si="424"/>
        <v>42632.908518518518</v>
      </c>
      <c r="T3685" s="9">
        <f t="shared" si="425"/>
        <v>42662.908518518518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422"/>
        <v>1.3906666666666667</v>
      </c>
      <c r="P3686">
        <f t="shared" si="423"/>
        <v>896.5</v>
      </c>
      <c r="Q3686" t="str">
        <f t="shared" si="426"/>
        <v>theater</v>
      </c>
      <c r="R3686" t="str">
        <f t="shared" si="427"/>
        <v>plays</v>
      </c>
      <c r="S3686" s="9">
        <f t="shared" si="424"/>
        <v>42218.97206018518</v>
      </c>
      <c r="T3686" s="9">
        <f t="shared" si="425"/>
        <v>42248.97206018518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422"/>
        <v>1.0569999999999999</v>
      </c>
      <c r="P3687">
        <f t="shared" si="423"/>
        <v>5142.5</v>
      </c>
      <c r="Q3687" t="str">
        <f t="shared" si="426"/>
        <v>theater</v>
      </c>
      <c r="R3687" t="str">
        <f t="shared" si="427"/>
        <v>plays</v>
      </c>
      <c r="S3687" s="9">
        <f t="shared" si="424"/>
        <v>41753.384942129625</v>
      </c>
      <c r="T3687" s="9">
        <f t="shared" si="425"/>
        <v>41778.666666666664</v>
      </c>
    </row>
    <row r="3688" spans="1:20" ht="29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422"/>
        <v>1.0142857142857142</v>
      </c>
      <c r="P3688">
        <f t="shared" si="423"/>
        <v>352.5</v>
      </c>
      <c r="Q3688" t="str">
        <f t="shared" si="426"/>
        <v>theater</v>
      </c>
      <c r="R3688" t="str">
        <f t="shared" si="427"/>
        <v>plays</v>
      </c>
      <c r="S3688" s="9">
        <f t="shared" si="424"/>
        <v>42230.454398148147</v>
      </c>
      <c r="T3688" s="9">
        <f t="shared" si="425"/>
        <v>42244.957638888889</v>
      </c>
    </row>
    <row r="3689" spans="1:20" ht="43.5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422"/>
        <v>1.0024500000000001</v>
      </c>
      <c r="P3689">
        <f t="shared" si="423"/>
        <v>5006.125</v>
      </c>
      <c r="Q3689" t="str">
        <f t="shared" si="426"/>
        <v>theater</v>
      </c>
      <c r="R3689" t="str">
        <f t="shared" si="427"/>
        <v>plays</v>
      </c>
      <c r="S3689" s="9">
        <f t="shared" si="424"/>
        <v>41787.009895833333</v>
      </c>
      <c r="T3689" s="9">
        <f t="shared" si="425"/>
        <v>41817.009895833333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422"/>
        <v>1.0916666666666666</v>
      </c>
      <c r="P3690">
        <f t="shared" si="423"/>
        <v>3137.5</v>
      </c>
      <c r="Q3690" t="str">
        <f t="shared" si="426"/>
        <v>theater</v>
      </c>
      <c r="R3690" t="str">
        <f t="shared" si="427"/>
        <v>plays</v>
      </c>
      <c r="S3690" s="9">
        <f t="shared" si="424"/>
        <v>41829.578749999993</v>
      </c>
      <c r="T3690" s="9">
        <f t="shared" si="425"/>
        <v>41859.578749999993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422"/>
        <v>1.1833333333333333</v>
      </c>
      <c r="P3691">
        <f t="shared" si="423"/>
        <v>3275</v>
      </c>
      <c r="Q3691" t="str">
        <f t="shared" si="426"/>
        <v>theater</v>
      </c>
      <c r="R3691" t="str">
        <f t="shared" si="427"/>
        <v>plays</v>
      </c>
      <c r="S3691" s="9">
        <f t="shared" si="424"/>
        <v>42147.61850694444</v>
      </c>
      <c r="T3691" s="9">
        <f t="shared" si="425"/>
        <v>42176.725694444445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422"/>
        <v>1.2</v>
      </c>
      <c r="P3692">
        <f t="shared" si="423"/>
        <v>1650</v>
      </c>
      <c r="Q3692" t="str">
        <f t="shared" si="426"/>
        <v>theater</v>
      </c>
      <c r="R3692" t="str">
        <f t="shared" si="427"/>
        <v>plays</v>
      </c>
      <c r="S3692" s="9">
        <f t="shared" si="424"/>
        <v>41940.38984953703</v>
      </c>
      <c r="T3692" s="9">
        <f t="shared" si="425"/>
        <v>41970.431516203702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422"/>
        <v>1.2796000000000001</v>
      </c>
      <c r="P3693">
        <f t="shared" si="423"/>
        <v>45592</v>
      </c>
      <c r="Q3693" t="str">
        <f t="shared" si="426"/>
        <v>theater</v>
      </c>
      <c r="R3693" t="str">
        <f t="shared" si="427"/>
        <v>plays</v>
      </c>
      <c r="S3693" s="9">
        <f t="shared" si="424"/>
        <v>42020.492233796293</v>
      </c>
      <c r="T3693" s="9">
        <f t="shared" si="425"/>
        <v>42064.999305555553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422"/>
        <v>1.26</v>
      </c>
      <c r="P3694">
        <f t="shared" si="423"/>
        <v>1130</v>
      </c>
      <c r="Q3694" t="str">
        <f t="shared" si="426"/>
        <v>theater</v>
      </c>
      <c r="R3694" t="str">
        <f t="shared" si="427"/>
        <v>plays</v>
      </c>
      <c r="S3694" s="9">
        <f t="shared" si="424"/>
        <v>41891.756701388884</v>
      </c>
      <c r="T3694" s="9">
        <f t="shared" si="425"/>
        <v>41900.791666666664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422"/>
        <v>1.2912912912912913</v>
      </c>
      <c r="P3695">
        <f t="shared" si="423"/>
        <v>381.5</v>
      </c>
      <c r="Q3695" t="str">
        <f t="shared" si="426"/>
        <v>theater</v>
      </c>
      <c r="R3695" t="str">
        <f t="shared" si="427"/>
        <v>plays</v>
      </c>
      <c r="S3695" s="9">
        <f t="shared" si="424"/>
        <v>42308.98297453703</v>
      </c>
      <c r="T3695" s="9">
        <f t="shared" si="425"/>
        <v>42338.729166666664</v>
      </c>
    </row>
    <row r="3696" spans="1:20" ht="43.5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422"/>
        <v>1.0742857142857143</v>
      </c>
      <c r="P3696">
        <f t="shared" si="423"/>
        <v>3630</v>
      </c>
      <c r="Q3696" t="str">
        <f t="shared" si="426"/>
        <v>theater</v>
      </c>
      <c r="R3696" t="str">
        <f t="shared" si="427"/>
        <v>plays</v>
      </c>
      <c r="S3696" s="9">
        <f t="shared" si="424"/>
        <v>42489.925543981481</v>
      </c>
      <c r="T3696" s="9">
        <f t="shared" si="425"/>
        <v>42526.874999999993</v>
      </c>
    </row>
    <row r="3697" spans="1:20" ht="43.5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422"/>
        <v>1.00125</v>
      </c>
      <c r="P3697">
        <f t="shared" si="423"/>
        <v>4002.5</v>
      </c>
      <c r="Q3697" t="str">
        <f t="shared" si="426"/>
        <v>theater</v>
      </c>
      <c r="R3697" t="str">
        <f t="shared" si="427"/>
        <v>plays</v>
      </c>
      <c r="S3697" s="9">
        <f t="shared" si="424"/>
        <v>41995.662152777775</v>
      </c>
      <c r="T3697" s="9">
        <f t="shared" si="425"/>
        <v>42015.662152777775</v>
      </c>
    </row>
    <row r="3698" spans="1:20" ht="29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422"/>
        <v>1.55</v>
      </c>
      <c r="P3698">
        <f t="shared" si="423"/>
        <v>2550</v>
      </c>
      <c r="Q3698" t="str">
        <f t="shared" si="426"/>
        <v>theater</v>
      </c>
      <c r="R3698" t="str">
        <f t="shared" si="427"/>
        <v>plays</v>
      </c>
      <c r="S3698" s="9">
        <f t="shared" si="424"/>
        <v>41988.408749999995</v>
      </c>
      <c r="T3698" s="9">
        <f t="shared" si="425"/>
        <v>42048.408749999995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422"/>
        <v>1.08</v>
      </c>
      <c r="P3699">
        <f t="shared" si="423"/>
        <v>2080</v>
      </c>
      <c r="Q3699" t="str">
        <f t="shared" si="426"/>
        <v>theater</v>
      </c>
      <c r="R3699" t="str">
        <f t="shared" si="427"/>
        <v>plays</v>
      </c>
      <c r="S3699" s="9">
        <f t="shared" si="424"/>
        <v>42479.2575</v>
      </c>
      <c r="T3699" s="9">
        <f t="shared" si="425"/>
        <v>42500.2575</v>
      </c>
    </row>
    <row r="3700" spans="1:20" ht="29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422"/>
        <v>1.1052</v>
      </c>
      <c r="P3700">
        <f t="shared" si="423"/>
        <v>5263</v>
      </c>
      <c r="Q3700" t="str">
        <f t="shared" si="426"/>
        <v>theater</v>
      </c>
      <c r="R3700" t="str">
        <f t="shared" si="427"/>
        <v>plays</v>
      </c>
      <c r="S3700" s="9">
        <f t="shared" si="424"/>
        <v>42401.598229166666</v>
      </c>
      <c r="T3700" s="9">
        <f t="shared" si="425"/>
        <v>42431.598229166666</v>
      </c>
    </row>
    <row r="3701" spans="1:20" ht="43.5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422"/>
        <v>1.008</v>
      </c>
      <c r="P3701">
        <f t="shared" si="423"/>
        <v>2510</v>
      </c>
      <c r="Q3701" t="str">
        <f t="shared" si="426"/>
        <v>theater</v>
      </c>
      <c r="R3701" t="str">
        <f t="shared" si="427"/>
        <v>plays</v>
      </c>
      <c r="S3701" s="9">
        <f t="shared" si="424"/>
        <v>41897.393703703703</v>
      </c>
      <c r="T3701" s="9">
        <f t="shared" si="425"/>
        <v>41927.393703703703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422"/>
        <v>1.212</v>
      </c>
      <c r="P3702">
        <f t="shared" si="423"/>
        <v>553</v>
      </c>
      <c r="Q3702" t="str">
        <f t="shared" si="426"/>
        <v>theater</v>
      </c>
      <c r="R3702" t="str">
        <f t="shared" si="427"/>
        <v>plays</v>
      </c>
      <c r="S3702" s="9">
        <f t="shared" si="424"/>
        <v>41882.37731481481</v>
      </c>
      <c r="T3702" s="9">
        <f t="shared" si="425"/>
        <v>41912.458333333328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422"/>
        <v>1.0033333333333334</v>
      </c>
      <c r="P3703">
        <f t="shared" si="423"/>
        <v>1502.5</v>
      </c>
      <c r="Q3703" t="str">
        <f t="shared" si="426"/>
        <v>theater</v>
      </c>
      <c r="R3703" t="str">
        <f t="shared" si="427"/>
        <v>plays</v>
      </c>
      <c r="S3703" s="9">
        <f t="shared" si="424"/>
        <v>42129.333252314813</v>
      </c>
      <c r="T3703" s="9">
        <f t="shared" si="425"/>
        <v>42159.333252314813</v>
      </c>
    </row>
    <row r="3704" spans="1:20" ht="43.5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422"/>
        <v>1.0916666666666666</v>
      </c>
      <c r="P3704">
        <f t="shared" si="423"/>
        <v>3137.5</v>
      </c>
      <c r="Q3704" t="str">
        <f t="shared" si="426"/>
        <v>theater</v>
      </c>
      <c r="R3704" t="str">
        <f t="shared" si="427"/>
        <v>plays</v>
      </c>
      <c r="S3704" s="9">
        <f t="shared" si="424"/>
        <v>42524.329675925925</v>
      </c>
      <c r="T3704" s="9">
        <f t="shared" si="425"/>
        <v>42561.749305555553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422"/>
        <v>1.2342857142857142</v>
      </c>
      <c r="P3705">
        <f t="shared" si="423"/>
        <v>1173</v>
      </c>
      <c r="Q3705" t="str">
        <f t="shared" si="426"/>
        <v>theater</v>
      </c>
      <c r="R3705" t="str">
        <f t="shared" si="427"/>
        <v>plays</v>
      </c>
      <c r="S3705" s="9">
        <f t="shared" si="424"/>
        <v>42556.296157407407</v>
      </c>
      <c r="T3705" s="9">
        <f t="shared" si="425"/>
        <v>42595.082638888889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422"/>
        <v>1.3633666666666666</v>
      </c>
      <c r="P3706">
        <f t="shared" si="423"/>
        <v>354.505</v>
      </c>
      <c r="Q3706" t="str">
        <f t="shared" si="426"/>
        <v>theater</v>
      </c>
      <c r="R3706" t="str">
        <f t="shared" si="427"/>
        <v>plays</v>
      </c>
      <c r="S3706" s="9">
        <f t="shared" si="424"/>
        <v>42461.481412037036</v>
      </c>
      <c r="T3706" s="9">
        <f t="shared" si="425"/>
        <v>42521.481412037036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422"/>
        <v>1.0346657233816767</v>
      </c>
      <c r="P3707">
        <f t="shared" si="423"/>
        <v>2876</v>
      </c>
      <c r="Q3707" t="str">
        <f t="shared" si="426"/>
        <v>theater</v>
      </c>
      <c r="R3707" t="str">
        <f t="shared" si="427"/>
        <v>plays</v>
      </c>
      <c r="S3707" s="9">
        <f t="shared" si="424"/>
        <v>41792.334652777776</v>
      </c>
      <c r="T3707" s="9">
        <f t="shared" si="425"/>
        <v>41813.541666666664</v>
      </c>
    </row>
    <row r="3708" spans="1:20" ht="29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422"/>
        <v>1.2133333333333334</v>
      </c>
      <c r="P3708">
        <f t="shared" si="423"/>
        <v>1660</v>
      </c>
      <c r="Q3708" t="str">
        <f t="shared" si="426"/>
        <v>theater</v>
      </c>
      <c r="R3708" t="str">
        <f t="shared" si="427"/>
        <v>plays</v>
      </c>
      <c r="S3708" s="9">
        <f t="shared" si="424"/>
        <v>41879.705428240741</v>
      </c>
      <c r="T3708" s="9">
        <f t="shared" si="425"/>
        <v>41894.705428240741</v>
      </c>
    </row>
    <row r="3709" spans="1:20" ht="29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422"/>
        <v>1.86</v>
      </c>
      <c r="P3709">
        <f t="shared" si="423"/>
        <v>1430</v>
      </c>
      <c r="Q3709" t="str">
        <f t="shared" si="426"/>
        <v>theater</v>
      </c>
      <c r="R3709" t="str">
        <f t="shared" si="427"/>
        <v>plays</v>
      </c>
      <c r="S3709" s="9">
        <f t="shared" si="424"/>
        <v>42551.840023148143</v>
      </c>
      <c r="T3709" s="9">
        <f t="shared" si="425"/>
        <v>42573.018055555549</v>
      </c>
    </row>
    <row r="3710" spans="1:20" ht="43.5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422"/>
        <v>3</v>
      </c>
      <c r="P3710">
        <f t="shared" si="423"/>
        <v>1400</v>
      </c>
      <c r="Q3710" t="str">
        <f t="shared" si="426"/>
        <v>theater</v>
      </c>
      <c r="R3710" t="str">
        <f t="shared" si="427"/>
        <v>plays</v>
      </c>
      <c r="S3710" s="9">
        <f t="shared" si="424"/>
        <v>41809.933865740742</v>
      </c>
      <c r="T3710" s="9">
        <f t="shared" si="425"/>
        <v>41823.933865740742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422"/>
        <v>1.0825</v>
      </c>
      <c r="P3711">
        <f t="shared" si="423"/>
        <v>1041.25</v>
      </c>
      <c r="Q3711" t="str">
        <f t="shared" si="426"/>
        <v>theater</v>
      </c>
      <c r="R3711" t="str">
        <f t="shared" si="427"/>
        <v>plays</v>
      </c>
      <c r="S3711" s="9">
        <f t="shared" si="424"/>
        <v>41785.499374999999</v>
      </c>
      <c r="T3711" s="9">
        <f t="shared" si="425"/>
        <v>41815.499374999999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422"/>
        <v>1.4115384615384616</v>
      </c>
      <c r="P3712">
        <f t="shared" si="423"/>
        <v>1567.5</v>
      </c>
      <c r="Q3712" t="str">
        <f t="shared" si="426"/>
        <v>theater</v>
      </c>
      <c r="R3712" t="str">
        <f t="shared" si="427"/>
        <v>plays</v>
      </c>
      <c r="S3712" s="9">
        <f t="shared" si="424"/>
        <v>42072.367916666662</v>
      </c>
      <c r="T3712" s="9">
        <f t="shared" si="425"/>
        <v>42097.367916666662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422"/>
        <v>1.1399999999999999</v>
      </c>
      <c r="P3713">
        <f t="shared" si="423"/>
        <v>535</v>
      </c>
      <c r="Q3713" t="str">
        <f t="shared" si="426"/>
        <v>theater</v>
      </c>
      <c r="R3713" t="str">
        <f t="shared" si="427"/>
        <v>plays</v>
      </c>
      <c r="S3713" s="9">
        <f t="shared" si="424"/>
        <v>41779.5158912037</v>
      </c>
      <c r="T3713" s="9">
        <f t="shared" si="425"/>
        <v>41805.458333333328</v>
      </c>
    </row>
    <row r="3714" spans="1:20" ht="43.5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422"/>
        <v>1.5373333333333334</v>
      </c>
      <c r="P3714">
        <f t="shared" si="423"/>
        <v>9515</v>
      </c>
      <c r="Q3714" t="str">
        <f t="shared" si="426"/>
        <v>theater</v>
      </c>
      <c r="R3714" t="str">
        <f t="shared" si="427"/>
        <v>plays</v>
      </c>
      <c r="S3714" s="9">
        <f t="shared" si="424"/>
        <v>42133.963738425919</v>
      </c>
      <c r="T3714" s="9">
        <f t="shared" si="425"/>
        <v>42155.082638888889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428">E3715/D3715</f>
        <v>1.0149999999999999</v>
      </c>
      <c r="P3715">
        <f t="shared" ref="P3715:P3778" si="429">AVERAGE(D3715:E3715)</f>
        <v>2015</v>
      </c>
      <c r="Q3715" t="str">
        <f t="shared" si="426"/>
        <v>theater</v>
      </c>
      <c r="R3715" t="str">
        <f t="shared" si="427"/>
        <v>plays</v>
      </c>
      <c r="S3715" s="9">
        <f t="shared" ref="S3715:S3778" si="430">J3715/86400+25569+(-5/24)</f>
        <v>42505.529699074068</v>
      </c>
      <c r="T3715" s="9">
        <f t="shared" si="425"/>
        <v>42525.529699074068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28"/>
        <v>1.0235000000000001</v>
      </c>
      <c r="P3716">
        <f t="shared" si="429"/>
        <v>10117.5</v>
      </c>
      <c r="Q3716" t="str">
        <f t="shared" si="426"/>
        <v>theater</v>
      </c>
      <c r="R3716" t="str">
        <f t="shared" si="427"/>
        <v>plays</v>
      </c>
      <c r="S3716" s="9">
        <f t="shared" si="430"/>
        <v>42118.347997685181</v>
      </c>
      <c r="T3716" s="9">
        <f t="shared" ref="T3716:T3779" si="431">I3716/86400+25569+(-5/24)</f>
        <v>42149.957638888889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28"/>
        <v>1.0257142857142858</v>
      </c>
      <c r="P3717">
        <f t="shared" si="429"/>
        <v>3545</v>
      </c>
      <c r="Q3717" t="str">
        <f t="shared" si="426"/>
        <v>theater</v>
      </c>
      <c r="R3717" t="str">
        <f t="shared" si="427"/>
        <v>plays</v>
      </c>
      <c r="S3717" s="9">
        <f t="shared" si="430"/>
        <v>42036.787256944437</v>
      </c>
      <c r="T3717" s="9">
        <f t="shared" si="431"/>
        <v>42094.327777777777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28"/>
        <v>1.5575000000000001</v>
      </c>
      <c r="P3718">
        <f t="shared" si="429"/>
        <v>1023</v>
      </c>
      <c r="Q3718" t="str">
        <f t="shared" si="426"/>
        <v>theater</v>
      </c>
      <c r="R3718" t="str">
        <f t="shared" si="427"/>
        <v>plays</v>
      </c>
      <c r="S3718" s="9">
        <f t="shared" si="430"/>
        <v>42360.679502314808</v>
      </c>
      <c r="T3718" s="9">
        <f t="shared" si="431"/>
        <v>42390.679502314808</v>
      </c>
    </row>
    <row r="3719" spans="1:20" ht="29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28"/>
        <v>1.0075000000000001</v>
      </c>
      <c r="P3719">
        <f t="shared" si="429"/>
        <v>4015</v>
      </c>
      <c r="Q3719" t="str">
        <f t="shared" si="426"/>
        <v>theater</v>
      </c>
      <c r="R3719" t="str">
        <f t="shared" si="427"/>
        <v>plays</v>
      </c>
      <c r="S3719" s="9">
        <f t="shared" si="430"/>
        <v>42102.657974537033</v>
      </c>
      <c r="T3719" s="9">
        <f t="shared" si="431"/>
        <v>42133.657974537033</v>
      </c>
    </row>
    <row r="3720" spans="1:20" ht="29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28"/>
        <v>2.3940000000000001</v>
      </c>
      <c r="P3720">
        <f t="shared" si="429"/>
        <v>848.5</v>
      </c>
      <c r="Q3720" t="str">
        <f t="shared" si="426"/>
        <v>theater</v>
      </c>
      <c r="R3720" t="str">
        <f t="shared" si="427"/>
        <v>plays</v>
      </c>
      <c r="S3720" s="9">
        <f t="shared" si="430"/>
        <v>42032.507812499993</v>
      </c>
      <c r="T3720" s="9">
        <f t="shared" si="431"/>
        <v>42062.507812499993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28"/>
        <v>2.1</v>
      </c>
      <c r="P3721">
        <f t="shared" si="429"/>
        <v>310</v>
      </c>
      <c r="Q3721" t="str">
        <f t="shared" si="426"/>
        <v>theater</v>
      </c>
      <c r="R3721" t="str">
        <f t="shared" si="427"/>
        <v>plays</v>
      </c>
      <c r="S3721" s="9">
        <f t="shared" si="430"/>
        <v>42147.521597222221</v>
      </c>
      <c r="T3721" s="9">
        <f t="shared" si="431"/>
        <v>42177.521597222221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28"/>
        <v>1.0451515151515152</v>
      </c>
      <c r="P3722">
        <f t="shared" si="429"/>
        <v>3374.5</v>
      </c>
      <c r="Q3722" t="str">
        <f t="shared" si="426"/>
        <v>theater</v>
      </c>
      <c r="R3722" t="str">
        <f t="shared" si="427"/>
        <v>plays</v>
      </c>
      <c r="S3722" s="9">
        <f t="shared" si="430"/>
        <v>42165.784791666665</v>
      </c>
      <c r="T3722" s="9">
        <f t="shared" si="431"/>
        <v>42187.784791666665</v>
      </c>
    </row>
    <row r="3723" spans="1:20" ht="43.5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28"/>
        <v>1.008</v>
      </c>
      <c r="P3723">
        <f t="shared" si="429"/>
        <v>5020</v>
      </c>
      <c r="Q3723" t="str">
        <f t="shared" ref="Q3723:Q3749" si="432">IF(N3723="theater/plays","theater")</f>
        <v>theater</v>
      </c>
      <c r="R3723" t="str">
        <f t="shared" ref="R3723:R3749" si="433">IF(N3723="theater/plays","plays")</f>
        <v>plays</v>
      </c>
      <c r="S3723" s="9">
        <f t="shared" si="430"/>
        <v>41927.727824074071</v>
      </c>
      <c r="T3723" s="9">
        <f t="shared" si="431"/>
        <v>41948.769490740735</v>
      </c>
    </row>
    <row r="3724" spans="1:20" ht="43.5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28"/>
        <v>1.1120000000000001</v>
      </c>
      <c r="P3724">
        <f t="shared" si="429"/>
        <v>1584</v>
      </c>
      <c r="Q3724" t="str">
        <f t="shared" si="432"/>
        <v>theater</v>
      </c>
      <c r="R3724" t="str">
        <f t="shared" si="433"/>
        <v>plays</v>
      </c>
      <c r="S3724" s="9">
        <f t="shared" si="430"/>
        <v>42381.463506944441</v>
      </c>
      <c r="T3724" s="9">
        <f t="shared" si="431"/>
        <v>42411.749305555553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28"/>
        <v>1.0204444444444445</v>
      </c>
      <c r="P3725">
        <f t="shared" si="429"/>
        <v>4546</v>
      </c>
      <c r="Q3725" t="str">
        <f t="shared" si="432"/>
        <v>theater</v>
      </c>
      <c r="R3725" t="str">
        <f t="shared" si="433"/>
        <v>plays</v>
      </c>
      <c r="S3725" s="9">
        <f t="shared" si="430"/>
        <v>41943.544699074067</v>
      </c>
      <c r="T3725" s="9">
        <f t="shared" si="431"/>
        <v>41973.586365740739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28"/>
        <v>1.0254767441860466</v>
      </c>
      <c r="P3726">
        <f t="shared" si="429"/>
        <v>4354.7749999999996</v>
      </c>
      <c r="Q3726" t="str">
        <f t="shared" si="432"/>
        <v>theater</v>
      </c>
      <c r="R3726" t="str">
        <f t="shared" si="433"/>
        <v>plays</v>
      </c>
      <c r="S3726" s="9">
        <f t="shared" si="430"/>
        <v>42465.283101851848</v>
      </c>
      <c r="T3726" s="9">
        <f t="shared" si="431"/>
        <v>42494.749999999993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28"/>
        <v>1.27</v>
      </c>
      <c r="P3727">
        <f t="shared" si="429"/>
        <v>340.5</v>
      </c>
      <c r="Q3727" t="str">
        <f t="shared" si="432"/>
        <v>theater</v>
      </c>
      <c r="R3727" t="str">
        <f t="shared" si="433"/>
        <v>plays</v>
      </c>
      <c r="S3727" s="9">
        <f t="shared" si="430"/>
        <v>42401.736886574072</v>
      </c>
      <c r="T3727" s="9">
        <f t="shared" si="431"/>
        <v>42418.687499999993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28"/>
        <v>3.3870588235294119</v>
      </c>
      <c r="P3728">
        <f t="shared" si="429"/>
        <v>1864.5</v>
      </c>
      <c r="Q3728" t="str">
        <f t="shared" si="432"/>
        <v>theater</v>
      </c>
      <c r="R3728" t="str">
        <f t="shared" si="433"/>
        <v>plays</v>
      </c>
      <c r="S3728" s="9">
        <f t="shared" si="430"/>
        <v>42461.932534722218</v>
      </c>
      <c r="T3728" s="9">
        <f t="shared" si="431"/>
        <v>42489.666666666664</v>
      </c>
    </row>
    <row r="3729" spans="1:20" ht="29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28"/>
        <v>1.0075000000000001</v>
      </c>
      <c r="P3729">
        <f t="shared" si="429"/>
        <v>2007.5</v>
      </c>
      <c r="Q3729" t="str">
        <f t="shared" si="432"/>
        <v>theater</v>
      </c>
      <c r="R3729" t="str">
        <f t="shared" si="433"/>
        <v>plays</v>
      </c>
      <c r="S3729" s="9">
        <f t="shared" si="430"/>
        <v>42632.139976851853</v>
      </c>
      <c r="T3729" s="9">
        <f t="shared" si="431"/>
        <v>42662.996527777774</v>
      </c>
    </row>
    <row r="3730" spans="1:20" ht="29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28"/>
        <v>9.3100000000000002E-2</v>
      </c>
      <c r="P3730">
        <f t="shared" si="429"/>
        <v>10931</v>
      </c>
      <c r="Q3730" t="str">
        <f t="shared" si="432"/>
        <v>theater</v>
      </c>
      <c r="R3730" t="str">
        <f t="shared" si="433"/>
        <v>plays</v>
      </c>
      <c r="S3730" s="9">
        <f t="shared" si="430"/>
        <v>42204.962685185186</v>
      </c>
      <c r="T3730" s="9">
        <f t="shared" si="431"/>
        <v>42234.962685185186</v>
      </c>
    </row>
    <row r="3731" spans="1:20" ht="43.5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28"/>
        <v>7.2400000000000006E-2</v>
      </c>
      <c r="P3731">
        <f t="shared" si="429"/>
        <v>2681</v>
      </c>
      <c r="Q3731" t="str">
        <f t="shared" si="432"/>
        <v>theater</v>
      </c>
      <c r="R3731" t="str">
        <f t="shared" si="433"/>
        <v>plays</v>
      </c>
      <c r="S3731" s="9">
        <f t="shared" si="430"/>
        <v>42040.996666666666</v>
      </c>
      <c r="T3731" s="9">
        <f t="shared" si="431"/>
        <v>42085.954999999994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28"/>
        <v>0.1</v>
      </c>
      <c r="P3732">
        <f t="shared" si="429"/>
        <v>550</v>
      </c>
      <c r="Q3732" t="str">
        <f t="shared" si="432"/>
        <v>theater</v>
      </c>
      <c r="R3732" t="str">
        <f t="shared" si="433"/>
        <v>plays</v>
      </c>
      <c r="S3732" s="9">
        <f t="shared" si="430"/>
        <v>42203.46943287037</v>
      </c>
      <c r="T3732" s="9">
        <f t="shared" si="431"/>
        <v>42233.46943287037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28"/>
        <v>0.11272727272727273</v>
      </c>
      <c r="P3733">
        <f t="shared" si="429"/>
        <v>3060</v>
      </c>
      <c r="Q3733" t="str">
        <f t="shared" si="432"/>
        <v>theater</v>
      </c>
      <c r="R3733" t="str">
        <f t="shared" si="433"/>
        <v>plays</v>
      </c>
      <c r="S3733" s="9">
        <f t="shared" si="430"/>
        <v>41983.544513888883</v>
      </c>
      <c r="T3733" s="9">
        <f t="shared" si="431"/>
        <v>42013.932638888888</v>
      </c>
    </row>
    <row r="3734" spans="1:20" ht="29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28"/>
        <v>0.15411764705882353</v>
      </c>
      <c r="P3734">
        <f t="shared" si="429"/>
        <v>490.5</v>
      </c>
      <c r="Q3734" t="str">
        <f t="shared" si="432"/>
        <v>theater</v>
      </c>
      <c r="R3734" t="str">
        <f t="shared" si="433"/>
        <v>plays</v>
      </c>
      <c r="S3734" s="9">
        <f t="shared" si="430"/>
        <v>41968.469131944446</v>
      </c>
      <c r="T3734" s="9">
        <f t="shared" si="431"/>
        <v>42028.291666666664</v>
      </c>
    </row>
    <row r="3735" spans="1:20" ht="29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28"/>
        <v>0</v>
      </c>
      <c r="P3735">
        <f t="shared" si="429"/>
        <v>750</v>
      </c>
      <c r="Q3735" t="str">
        <f t="shared" si="432"/>
        <v>theater</v>
      </c>
      <c r="R3735" t="str">
        <f t="shared" si="433"/>
        <v>plays</v>
      </c>
      <c r="S3735" s="9">
        <f t="shared" si="430"/>
        <v>42102.816064814811</v>
      </c>
      <c r="T3735" s="9">
        <f t="shared" si="431"/>
        <v>42112.729166666664</v>
      </c>
    </row>
    <row r="3736" spans="1:20" ht="43.5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28"/>
        <v>0.28466666666666668</v>
      </c>
      <c r="P3736">
        <f t="shared" si="429"/>
        <v>963.5</v>
      </c>
      <c r="Q3736" t="str">
        <f t="shared" si="432"/>
        <v>theater</v>
      </c>
      <c r="R3736" t="str">
        <f t="shared" si="433"/>
        <v>plays</v>
      </c>
      <c r="S3736" s="9">
        <f t="shared" si="430"/>
        <v>42089.693240740737</v>
      </c>
      <c r="T3736" s="9">
        <f t="shared" si="431"/>
        <v>42149.693240740737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28"/>
        <v>0.13333333333333333</v>
      </c>
      <c r="P3737">
        <f t="shared" si="429"/>
        <v>85</v>
      </c>
      <c r="Q3737" t="str">
        <f t="shared" si="432"/>
        <v>theater</v>
      </c>
      <c r="R3737" t="str">
        <f t="shared" si="433"/>
        <v>plays</v>
      </c>
      <c r="S3737" s="9">
        <f t="shared" si="430"/>
        <v>42122.484826388885</v>
      </c>
      <c r="T3737" s="9">
        <f t="shared" si="431"/>
        <v>42152.484826388885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28"/>
        <v>6.6666666666666671E-3</v>
      </c>
      <c r="P3738">
        <f t="shared" si="429"/>
        <v>755</v>
      </c>
      <c r="Q3738" t="str">
        <f t="shared" si="432"/>
        <v>theater</v>
      </c>
      <c r="R3738" t="str">
        <f t="shared" si="433"/>
        <v>plays</v>
      </c>
      <c r="S3738" s="9">
        <f t="shared" si="430"/>
        <v>42048.503391203696</v>
      </c>
      <c r="T3738" s="9">
        <f t="shared" si="431"/>
        <v>42086.541666666664</v>
      </c>
    </row>
    <row r="3739" spans="1:20" ht="29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28"/>
        <v>0.21428571428571427</v>
      </c>
      <c r="P3739">
        <f t="shared" si="429"/>
        <v>425</v>
      </c>
      <c r="Q3739" t="str">
        <f t="shared" si="432"/>
        <v>theater</v>
      </c>
      <c r="R3739" t="str">
        <f t="shared" si="433"/>
        <v>plays</v>
      </c>
      <c r="S3739" s="9">
        <f t="shared" si="430"/>
        <v>42297.482673611106</v>
      </c>
      <c r="T3739" s="9">
        <f t="shared" si="431"/>
        <v>42320.082638888889</v>
      </c>
    </row>
    <row r="3740" spans="1:20" ht="29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28"/>
        <v>0.18</v>
      </c>
      <c r="P3740">
        <f t="shared" si="429"/>
        <v>885</v>
      </c>
      <c r="Q3740" t="str">
        <f t="shared" si="432"/>
        <v>theater</v>
      </c>
      <c r="R3740" t="str">
        <f t="shared" si="433"/>
        <v>plays</v>
      </c>
      <c r="S3740" s="9">
        <f t="shared" si="430"/>
        <v>41813.730381944442</v>
      </c>
      <c r="T3740" s="9">
        <f t="shared" si="431"/>
        <v>41835.708333333328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28"/>
        <v>0.20125000000000001</v>
      </c>
      <c r="P3741">
        <f t="shared" si="429"/>
        <v>2402.5</v>
      </c>
      <c r="Q3741" t="str">
        <f t="shared" si="432"/>
        <v>theater</v>
      </c>
      <c r="R3741" t="str">
        <f t="shared" si="433"/>
        <v>plays</v>
      </c>
      <c r="S3741" s="9">
        <f t="shared" si="430"/>
        <v>42548.241527777776</v>
      </c>
      <c r="T3741" s="9">
        <f t="shared" si="431"/>
        <v>42568.241527777776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28"/>
        <v>0.17899999999999999</v>
      </c>
      <c r="P3742">
        <f t="shared" si="429"/>
        <v>1179</v>
      </c>
      <c r="Q3742" t="str">
        <f t="shared" si="432"/>
        <v>theater</v>
      </c>
      <c r="R3742" t="str">
        <f t="shared" si="433"/>
        <v>plays</v>
      </c>
      <c r="S3742" s="9">
        <f t="shared" si="430"/>
        <v>41832.881423611107</v>
      </c>
      <c r="T3742" s="9">
        <f t="shared" si="431"/>
        <v>41862.870810185181</v>
      </c>
    </row>
    <row r="3743" spans="1:20" ht="29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28"/>
        <v>0</v>
      </c>
      <c r="P3743">
        <f t="shared" si="429"/>
        <v>10000</v>
      </c>
      <c r="Q3743" t="str">
        <f t="shared" si="432"/>
        <v>theater</v>
      </c>
      <c r="R3743" t="str">
        <f t="shared" si="433"/>
        <v>plays</v>
      </c>
      <c r="S3743" s="9">
        <f t="shared" si="430"/>
        <v>42325.712384259255</v>
      </c>
      <c r="T3743" s="9">
        <f t="shared" si="431"/>
        <v>42355.712384259255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28"/>
        <v>0.02</v>
      </c>
      <c r="P3744">
        <f t="shared" si="429"/>
        <v>2550</v>
      </c>
      <c r="Q3744" t="str">
        <f t="shared" si="432"/>
        <v>theater</v>
      </c>
      <c r="R3744" t="str">
        <f t="shared" si="433"/>
        <v>plays</v>
      </c>
      <c r="S3744" s="9">
        <f t="shared" si="430"/>
        <v>41858.006296296291</v>
      </c>
      <c r="T3744" s="9">
        <f t="shared" si="431"/>
        <v>41888.006296296291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28"/>
        <v>0</v>
      </c>
      <c r="P3745">
        <f t="shared" si="429"/>
        <v>1100</v>
      </c>
      <c r="Q3745" t="str">
        <f t="shared" si="432"/>
        <v>theater</v>
      </c>
      <c r="R3745" t="str">
        <f t="shared" si="433"/>
        <v>plays</v>
      </c>
      <c r="S3745" s="9">
        <f t="shared" si="430"/>
        <v>41793.501898148148</v>
      </c>
      <c r="T3745" s="9">
        <f t="shared" si="431"/>
        <v>41823.501898148148</v>
      </c>
    </row>
    <row r="3746" spans="1:20" ht="43.5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28"/>
        <v>0</v>
      </c>
      <c r="P3746">
        <f t="shared" si="429"/>
        <v>600</v>
      </c>
      <c r="Q3746" t="str">
        <f t="shared" si="432"/>
        <v>theater</v>
      </c>
      <c r="R3746" t="str">
        <f t="shared" si="433"/>
        <v>plays</v>
      </c>
      <c r="S3746" s="9">
        <f t="shared" si="430"/>
        <v>41793.605925925927</v>
      </c>
      <c r="T3746" s="9">
        <f t="shared" si="431"/>
        <v>41824.957638888889</v>
      </c>
    </row>
    <row r="3747" spans="1:20" ht="29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28"/>
        <v>0.1</v>
      </c>
      <c r="P3747">
        <f t="shared" si="429"/>
        <v>55</v>
      </c>
      <c r="Q3747" t="str">
        <f t="shared" si="432"/>
        <v>theater</v>
      </c>
      <c r="R3747" t="str">
        <f t="shared" si="433"/>
        <v>plays</v>
      </c>
      <c r="S3747" s="9">
        <f t="shared" si="430"/>
        <v>41831.489606481475</v>
      </c>
      <c r="T3747" s="9">
        <f t="shared" si="431"/>
        <v>41861.489606481475</v>
      </c>
    </row>
    <row r="3748" spans="1:20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28"/>
        <v>2.3764705882352941E-2</v>
      </c>
      <c r="P3748">
        <f t="shared" si="429"/>
        <v>4351</v>
      </c>
      <c r="Q3748" t="str">
        <f t="shared" si="432"/>
        <v>theater</v>
      </c>
      <c r="R3748" t="str">
        <f t="shared" si="433"/>
        <v>plays</v>
      </c>
      <c r="S3748" s="9">
        <f t="shared" si="430"/>
        <v>42621.18100694444</v>
      </c>
      <c r="T3748" s="9">
        <f t="shared" si="431"/>
        <v>42651.18100694444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28"/>
        <v>0.01</v>
      </c>
      <c r="P3749">
        <f t="shared" si="429"/>
        <v>1262.5</v>
      </c>
      <c r="Q3749" t="str">
        <f t="shared" si="432"/>
        <v>theater</v>
      </c>
      <c r="R3749" t="str">
        <f t="shared" si="433"/>
        <v>plays</v>
      </c>
      <c r="S3749" s="9">
        <f t="shared" si="430"/>
        <v>42164.091388888883</v>
      </c>
      <c r="T3749" s="9">
        <f t="shared" si="431"/>
        <v>42190.749305555553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28"/>
        <v>1.0351999999999999</v>
      </c>
      <c r="P3750">
        <f t="shared" si="429"/>
        <v>5088</v>
      </c>
      <c r="Q3750" t="str">
        <f>IF(N3750="theater/musical","theater")</f>
        <v>theater</v>
      </c>
      <c r="R3750" t="str">
        <f>IF(N3750="theater/musical","musical")</f>
        <v>musical</v>
      </c>
      <c r="S3750" s="9">
        <f t="shared" si="430"/>
        <v>42395.498101851852</v>
      </c>
      <c r="T3750" s="9">
        <f t="shared" si="431"/>
        <v>42416.040972222218</v>
      </c>
    </row>
    <row r="3751" spans="1:20" ht="29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28"/>
        <v>1.05</v>
      </c>
      <c r="P3751">
        <f t="shared" si="429"/>
        <v>512.5</v>
      </c>
      <c r="Q3751" t="str">
        <f t="shared" ref="Q3751:Q3809" si="434">IF(N3751="theater/musical","theater")</f>
        <v>theater</v>
      </c>
      <c r="R3751" t="str">
        <f t="shared" ref="R3751:R3809" si="435">IF(N3751="theater/musical","musical")</f>
        <v>musical</v>
      </c>
      <c r="S3751" s="9">
        <f t="shared" si="430"/>
        <v>42457.918842592589</v>
      </c>
      <c r="T3751" s="9">
        <f t="shared" si="431"/>
        <v>42488.957638888889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28"/>
        <v>1.0044999999999999</v>
      </c>
      <c r="P3752">
        <f t="shared" si="429"/>
        <v>6013.5</v>
      </c>
      <c r="Q3752" t="str">
        <f t="shared" si="434"/>
        <v>theater</v>
      </c>
      <c r="R3752" t="str">
        <f t="shared" si="435"/>
        <v>musical</v>
      </c>
      <c r="S3752" s="9">
        <f t="shared" si="430"/>
        <v>42016.773240740738</v>
      </c>
      <c r="T3752" s="9">
        <f t="shared" si="431"/>
        <v>42045.124305555553</v>
      </c>
    </row>
    <row r="3753" spans="1:20" ht="29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28"/>
        <v>1.3260000000000001</v>
      </c>
      <c r="P3753">
        <f t="shared" si="429"/>
        <v>1163</v>
      </c>
      <c r="Q3753" t="str">
        <f t="shared" si="434"/>
        <v>theater</v>
      </c>
      <c r="R3753" t="str">
        <f t="shared" si="435"/>
        <v>musical</v>
      </c>
      <c r="S3753" s="9">
        <f t="shared" si="430"/>
        <v>42402.827233796292</v>
      </c>
      <c r="T3753" s="9">
        <f t="shared" si="431"/>
        <v>42462.785567129627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28"/>
        <v>1.1299999999999999</v>
      </c>
      <c r="P3754">
        <f t="shared" si="429"/>
        <v>532.5</v>
      </c>
      <c r="Q3754" t="str">
        <f t="shared" si="434"/>
        <v>theater</v>
      </c>
      <c r="R3754" t="str">
        <f t="shared" si="435"/>
        <v>musical</v>
      </c>
      <c r="S3754" s="9">
        <f t="shared" si="430"/>
        <v>42619.594155092585</v>
      </c>
      <c r="T3754" s="9">
        <f t="shared" si="431"/>
        <v>42659.666666666664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28"/>
        <v>1.0334000000000001</v>
      </c>
      <c r="P3755">
        <f t="shared" si="429"/>
        <v>5083.5</v>
      </c>
      <c r="Q3755" t="str">
        <f t="shared" si="434"/>
        <v>theater</v>
      </c>
      <c r="R3755" t="str">
        <f t="shared" si="435"/>
        <v>musical</v>
      </c>
      <c r="S3755" s="9">
        <f t="shared" si="430"/>
        <v>42128.615740740737</v>
      </c>
      <c r="T3755" s="9">
        <f t="shared" si="431"/>
        <v>42157.791666666664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28"/>
        <v>1.2</v>
      </c>
      <c r="P3756">
        <f t="shared" si="429"/>
        <v>2750</v>
      </c>
      <c r="Q3756" t="str">
        <f t="shared" si="434"/>
        <v>theater</v>
      </c>
      <c r="R3756" t="str">
        <f t="shared" si="435"/>
        <v>musical</v>
      </c>
      <c r="S3756" s="9">
        <f t="shared" si="430"/>
        <v>41808.67288194444</v>
      </c>
      <c r="T3756" s="9">
        <f t="shared" si="431"/>
        <v>41845.999305555553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28"/>
        <v>1.2963636363636364</v>
      </c>
      <c r="P3757">
        <f t="shared" si="429"/>
        <v>631.5</v>
      </c>
      <c r="Q3757" t="str">
        <f t="shared" si="434"/>
        <v>theater</v>
      </c>
      <c r="R3757" t="str">
        <f t="shared" si="435"/>
        <v>musical</v>
      </c>
      <c r="S3757" s="9">
        <f t="shared" si="430"/>
        <v>42445.658645833326</v>
      </c>
      <c r="T3757" s="9">
        <f t="shared" si="431"/>
        <v>42475.658645833326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28"/>
        <v>1.0111111111111111</v>
      </c>
      <c r="P3758">
        <f t="shared" si="429"/>
        <v>4525</v>
      </c>
      <c r="Q3758" t="str">
        <f t="shared" si="434"/>
        <v>theater</v>
      </c>
      <c r="R3758" t="str">
        <f t="shared" si="435"/>
        <v>musical</v>
      </c>
      <c r="S3758" s="9">
        <f t="shared" si="430"/>
        <v>41771.606458333328</v>
      </c>
      <c r="T3758" s="9">
        <f t="shared" si="431"/>
        <v>41801.606458333328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28"/>
        <v>1.0851428571428572</v>
      </c>
      <c r="P3759">
        <f t="shared" si="429"/>
        <v>3649</v>
      </c>
      <c r="Q3759" t="str">
        <f t="shared" si="434"/>
        <v>theater</v>
      </c>
      <c r="R3759" t="str">
        <f t="shared" si="435"/>
        <v>musical</v>
      </c>
      <c r="S3759" s="9">
        <f t="shared" si="430"/>
        <v>41954.642534722218</v>
      </c>
      <c r="T3759" s="9">
        <f t="shared" si="431"/>
        <v>41974.642534722218</v>
      </c>
    </row>
    <row r="3760" spans="1:20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28"/>
        <v>1.0233333333333334</v>
      </c>
      <c r="P3760">
        <f t="shared" si="429"/>
        <v>1517.5</v>
      </c>
      <c r="Q3760" t="str">
        <f t="shared" si="434"/>
        <v>theater</v>
      </c>
      <c r="R3760" t="str">
        <f t="shared" si="435"/>
        <v>musical</v>
      </c>
      <c r="S3760" s="9">
        <f t="shared" si="430"/>
        <v>41747.263171296298</v>
      </c>
      <c r="T3760" s="9">
        <f t="shared" si="431"/>
        <v>41778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28"/>
        <v>1.1024425000000002</v>
      </c>
      <c r="P3761">
        <f t="shared" si="429"/>
        <v>4204.8850000000002</v>
      </c>
      <c r="Q3761" t="str">
        <f t="shared" si="434"/>
        <v>theater</v>
      </c>
      <c r="R3761" t="str">
        <f t="shared" si="435"/>
        <v>musical</v>
      </c>
      <c r="S3761" s="9">
        <f t="shared" si="430"/>
        <v>42181.899918981479</v>
      </c>
      <c r="T3761" s="9">
        <f t="shared" si="431"/>
        <v>42241.899918981479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28"/>
        <v>1.010154</v>
      </c>
      <c r="P3762">
        <f t="shared" si="429"/>
        <v>5025.3850000000002</v>
      </c>
      <c r="Q3762" t="str">
        <f t="shared" si="434"/>
        <v>theater</v>
      </c>
      <c r="R3762" t="str">
        <f t="shared" si="435"/>
        <v>musical</v>
      </c>
      <c r="S3762" s="9">
        <f t="shared" si="430"/>
        <v>41739.316967592589</v>
      </c>
      <c r="T3762" s="9">
        <f t="shared" si="431"/>
        <v>41764.316967592589</v>
      </c>
    </row>
    <row r="3763" spans="1:20" ht="43.5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28"/>
        <v>1</v>
      </c>
      <c r="P3763">
        <f t="shared" si="429"/>
        <v>500</v>
      </c>
      <c r="Q3763" t="str">
        <f t="shared" si="434"/>
        <v>theater</v>
      </c>
      <c r="R3763" t="str">
        <f t="shared" si="435"/>
        <v>musical</v>
      </c>
      <c r="S3763" s="9">
        <f t="shared" si="430"/>
        <v>42173.258530092593</v>
      </c>
      <c r="T3763" s="9">
        <f t="shared" si="431"/>
        <v>42226.749999999993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28"/>
        <v>1.0624</v>
      </c>
      <c r="P3764">
        <f t="shared" si="429"/>
        <v>1289</v>
      </c>
      <c r="Q3764" t="str">
        <f t="shared" si="434"/>
        <v>theater</v>
      </c>
      <c r="R3764" t="str">
        <f t="shared" si="435"/>
        <v>musical</v>
      </c>
      <c r="S3764" s="9">
        <f t="shared" si="430"/>
        <v>42193.605196759258</v>
      </c>
      <c r="T3764" s="9">
        <f t="shared" si="431"/>
        <v>42218.605196759258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28"/>
        <v>1</v>
      </c>
      <c r="P3765">
        <f t="shared" si="429"/>
        <v>5000</v>
      </c>
      <c r="Q3765" t="str">
        <f t="shared" si="434"/>
        <v>theater</v>
      </c>
      <c r="R3765" t="str">
        <f t="shared" si="435"/>
        <v>musical</v>
      </c>
      <c r="S3765" s="9">
        <f t="shared" si="430"/>
        <v>42065.541967592588</v>
      </c>
      <c r="T3765" s="9">
        <f t="shared" si="431"/>
        <v>42095.500300925924</v>
      </c>
    </row>
    <row r="3766" spans="1:20" ht="29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28"/>
        <v>1</v>
      </c>
      <c r="P3766">
        <f t="shared" si="429"/>
        <v>1500</v>
      </c>
      <c r="Q3766" t="str">
        <f t="shared" si="434"/>
        <v>theater</v>
      </c>
      <c r="R3766" t="str">
        <f t="shared" si="435"/>
        <v>musical</v>
      </c>
      <c r="S3766" s="9">
        <f t="shared" si="430"/>
        <v>42499.634629629632</v>
      </c>
      <c r="T3766" s="9">
        <f t="shared" si="431"/>
        <v>42518.816666666666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28"/>
        <v>1.1345714285714286</v>
      </c>
      <c r="P3767">
        <f t="shared" si="429"/>
        <v>7471</v>
      </c>
      <c r="Q3767" t="str">
        <f t="shared" si="434"/>
        <v>theater</v>
      </c>
      <c r="R3767" t="str">
        <f t="shared" si="435"/>
        <v>musical</v>
      </c>
      <c r="S3767" s="9">
        <f t="shared" si="430"/>
        <v>41820.568078703705</v>
      </c>
      <c r="T3767" s="9">
        <f t="shared" si="431"/>
        <v>41850.568078703705</v>
      </c>
    </row>
    <row r="3768" spans="1:20" ht="29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28"/>
        <v>1.0265010000000001</v>
      </c>
      <c r="P3768">
        <f t="shared" si="429"/>
        <v>10132.505000000001</v>
      </c>
      <c r="Q3768" t="str">
        <f t="shared" si="434"/>
        <v>theater</v>
      </c>
      <c r="R3768" t="str">
        <f t="shared" si="435"/>
        <v>musical</v>
      </c>
      <c r="S3768" s="9">
        <f t="shared" si="430"/>
        <v>41787.958854166667</v>
      </c>
      <c r="T3768" s="9">
        <f t="shared" si="431"/>
        <v>41822.958854166667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28"/>
        <v>1.1675</v>
      </c>
      <c r="P3769">
        <f t="shared" si="429"/>
        <v>2167.5</v>
      </c>
      <c r="Q3769" t="str">
        <f t="shared" si="434"/>
        <v>theater</v>
      </c>
      <c r="R3769" t="str">
        <f t="shared" si="435"/>
        <v>musical</v>
      </c>
      <c r="S3769" s="9">
        <f t="shared" si="430"/>
        <v>42049.811307870368</v>
      </c>
      <c r="T3769" s="9">
        <f t="shared" si="431"/>
        <v>42063.999305555553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28"/>
        <v>1.0765274999999999</v>
      </c>
      <c r="P3770">
        <f t="shared" si="429"/>
        <v>4153.0550000000003</v>
      </c>
      <c r="Q3770" t="str">
        <f t="shared" si="434"/>
        <v>theater</v>
      </c>
      <c r="R3770" t="str">
        <f t="shared" si="435"/>
        <v>musical</v>
      </c>
      <c r="S3770" s="9">
        <f t="shared" si="430"/>
        <v>41772.519560185181</v>
      </c>
      <c r="T3770" s="9">
        <f t="shared" si="431"/>
        <v>41802.519560185181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28"/>
        <v>1</v>
      </c>
      <c r="P3771">
        <f t="shared" si="429"/>
        <v>1100</v>
      </c>
      <c r="Q3771" t="str">
        <f t="shared" si="434"/>
        <v>theater</v>
      </c>
      <c r="R3771" t="str">
        <f t="shared" si="435"/>
        <v>musical</v>
      </c>
      <c r="S3771" s="9">
        <f t="shared" si="430"/>
        <v>42445.389803240738</v>
      </c>
      <c r="T3771" s="9">
        <f t="shared" si="431"/>
        <v>42475.389803240738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28"/>
        <v>1</v>
      </c>
      <c r="P3772">
        <f t="shared" si="429"/>
        <v>2000</v>
      </c>
      <c r="Q3772" t="str">
        <f t="shared" si="434"/>
        <v>theater</v>
      </c>
      <c r="R3772" t="str">
        <f t="shared" si="435"/>
        <v>musical</v>
      </c>
      <c r="S3772" s="9">
        <f t="shared" si="430"/>
        <v>42138.722337962965</v>
      </c>
      <c r="T3772" s="9">
        <f t="shared" si="431"/>
        <v>42168.722337962965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28"/>
        <v>1.46</v>
      </c>
      <c r="P3773">
        <f t="shared" si="429"/>
        <v>1230</v>
      </c>
      <c r="Q3773" t="str">
        <f t="shared" si="434"/>
        <v>theater</v>
      </c>
      <c r="R3773" t="str">
        <f t="shared" si="435"/>
        <v>musical</v>
      </c>
      <c r="S3773" s="9">
        <f t="shared" si="430"/>
        <v>42493.64875</v>
      </c>
      <c r="T3773" s="9">
        <f t="shared" si="431"/>
        <v>42507.791666666664</v>
      </c>
    </row>
    <row r="3774" spans="1:20" ht="29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28"/>
        <v>1.1020000000000001</v>
      </c>
      <c r="P3774">
        <f t="shared" si="429"/>
        <v>5255</v>
      </c>
      <c r="Q3774" t="str">
        <f t="shared" si="434"/>
        <v>theater</v>
      </c>
      <c r="R3774" t="str">
        <f t="shared" si="435"/>
        <v>musical</v>
      </c>
      <c r="S3774" s="9">
        <f t="shared" si="430"/>
        <v>42682.408634259256</v>
      </c>
      <c r="T3774" s="9">
        <f t="shared" si="431"/>
        <v>42703.041666666664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28"/>
        <v>1.0820000000000001</v>
      </c>
      <c r="P3775">
        <f t="shared" si="429"/>
        <v>5205</v>
      </c>
      <c r="Q3775" t="str">
        <f t="shared" si="434"/>
        <v>theater</v>
      </c>
      <c r="R3775" t="str">
        <f t="shared" si="435"/>
        <v>musical</v>
      </c>
      <c r="S3775" s="9">
        <f t="shared" si="430"/>
        <v>42655.796840277777</v>
      </c>
      <c r="T3775" s="9">
        <f t="shared" si="431"/>
        <v>42688.880555555552</v>
      </c>
    </row>
    <row r="3776" spans="1:20" ht="43.5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28"/>
        <v>1</v>
      </c>
      <c r="P3776">
        <f t="shared" si="429"/>
        <v>2500</v>
      </c>
      <c r="Q3776" t="str">
        <f t="shared" si="434"/>
        <v>theater</v>
      </c>
      <c r="R3776" t="str">
        <f t="shared" si="435"/>
        <v>musical</v>
      </c>
      <c r="S3776" s="9">
        <f t="shared" si="430"/>
        <v>42087.583969907406</v>
      </c>
      <c r="T3776" s="9">
        <f t="shared" si="431"/>
        <v>42103.583969907406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28"/>
        <v>1.0024999999999999</v>
      </c>
      <c r="P3777">
        <f t="shared" si="429"/>
        <v>2002.5</v>
      </c>
      <c r="Q3777" t="str">
        <f t="shared" si="434"/>
        <v>theater</v>
      </c>
      <c r="R3777" t="str">
        <f t="shared" si="435"/>
        <v>musical</v>
      </c>
      <c r="S3777" s="9">
        <f t="shared" si="430"/>
        <v>42075.734293981477</v>
      </c>
      <c r="T3777" s="9">
        <f t="shared" si="431"/>
        <v>42102.958333333336</v>
      </c>
    </row>
    <row r="3778" spans="1:20" ht="43.5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28"/>
        <v>1.0671250000000001</v>
      </c>
      <c r="P3778">
        <f t="shared" si="429"/>
        <v>8268.5</v>
      </c>
      <c r="Q3778" t="str">
        <f t="shared" si="434"/>
        <v>theater</v>
      </c>
      <c r="R3778" t="str">
        <f t="shared" si="435"/>
        <v>musical</v>
      </c>
      <c r="S3778" s="9">
        <f t="shared" si="430"/>
        <v>41814.159467592588</v>
      </c>
      <c r="T3778" s="9">
        <f t="shared" si="431"/>
        <v>41851.833333333328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436">E3779/D3779</f>
        <v>1.4319999999999999</v>
      </c>
      <c r="P3779">
        <f t="shared" ref="P3779:P3842" si="437">AVERAGE(D3779:E3779)</f>
        <v>2432</v>
      </c>
      <c r="Q3779" t="str">
        <f t="shared" si="434"/>
        <v>theater</v>
      </c>
      <c r="R3779" t="str">
        <f t="shared" si="435"/>
        <v>musical</v>
      </c>
      <c r="S3779" s="9">
        <f t="shared" ref="S3779:S3842" si="438">J3779/86400+25569+(-5/24)</f>
        <v>41886.903020833335</v>
      </c>
      <c r="T3779" s="9">
        <f t="shared" si="431"/>
        <v>41908.958333333328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36"/>
        <v>1.0504166666666668</v>
      </c>
      <c r="P3780">
        <f t="shared" si="437"/>
        <v>2460.5</v>
      </c>
      <c r="Q3780" t="str">
        <f t="shared" si="434"/>
        <v>theater</v>
      </c>
      <c r="R3780" t="str">
        <f t="shared" si="435"/>
        <v>musical</v>
      </c>
      <c r="S3780" s="9">
        <f t="shared" si="438"/>
        <v>41989.610879629625</v>
      </c>
      <c r="T3780" s="9">
        <f t="shared" ref="T3780:T3843" si="439">I3780/86400+25569+(-5/24)</f>
        <v>42049.610879629625</v>
      </c>
    </row>
    <row r="3781" spans="1:20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36"/>
        <v>1.0398000000000001</v>
      </c>
      <c r="P3781">
        <f t="shared" si="437"/>
        <v>15298.5</v>
      </c>
      <c r="Q3781" t="str">
        <f t="shared" si="434"/>
        <v>theater</v>
      </c>
      <c r="R3781" t="str">
        <f t="shared" si="435"/>
        <v>musical</v>
      </c>
      <c r="S3781" s="9">
        <f t="shared" si="438"/>
        <v>42425.527083333327</v>
      </c>
      <c r="T3781" s="9">
        <f t="shared" si="439"/>
        <v>42455.485416666663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36"/>
        <v>1.2</v>
      </c>
      <c r="P3782">
        <f t="shared" si="437"/>
        <v>2750</v>
      </c>
      <c r="Q3782" t="str">
        <f t="shared" si="434"/>
        <v>theater</v>
      </c>
      <c r="R3782" t="str">
        <f t="shared" si="435"/>
        <v>musical</v>
      </c>
      <c r="S3782" s="9">
        <f t="shared" si="438"/>
        <v>42166.011400462965</v>
      </c>
      <c r="T3782" s="9">
        <f t="shared" si="439"/>
        <v>42198.629166666666</v>
      </c>
    </row>
    <row r="3783" spans="1:20" ht="43.5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36"/>
        <v>1.0966666666666667</v>
      </c>
      <c r="P3783">
        <f t="shared" si="437"/>
        <v>4717.5</v>
      </c>
      <c r="Q3783" t="str">
        <f t="shared" si="434"/>
        <v>theater</v>
      </c>
      <c r="R3783" t="str">
        <f t="shared" si="435"/>
        <v>musical</v>
      </c>
      <c r="S3783" s="9">
        <f t="shared" si="438"/>
        <v>41865.674594907403</v>
      </c>
      <c r="T3783" s="9">
        <f t="shared" si="439"/>
        <v>41890.674594907403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36"/>
        <v>1.0175000000000001</v>
      </c>
      <c r="P3784">
        <f t="shared" si="437"/>
        <v>2017.5</v>
      </c>
      <c r="Q3784" t="str">
        <f t="shared" si="434"/>
        <v>theater</v>
      </c>
      <c r="R3784" t="str">
        <f t="shared" si="435"/>
        <v>musical</v>
      </c>
      <c r="S3784" s="9">
        <f t="shared" si="438"/>
        <v>42546.653900462959</v>
      </c>
      <c r="T3784" s="9">
        <f t="shared" si="439"/>
        <v>42575.749999999993</v>
      </c>
    </row>
    <row r="3785" spans="1:20" ht="29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36"/>
        <v>1.2891666666666666</v>
      </c>
      <c r="P3785">
        <f t="shared" si="437"/>
        <v>1373.5</v>
      </c>
      <c r="Q3785" t="str">
        <f t="shared" si="434"/>
        <v>theater</v>
      </c>
      <c r="R3785" t="str">
        <f t="shared" si="435"/>
        <v>musical</v>
      </c>
      <c r="S3785" s="9">
        <f t="shared" si="438"/>
        <v>42419.931944444441</v>
      </c>
      <c r="T3785" s="9">
        <f t="shared" si="439"/>
        <v>42444.458333333336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36"/>
        <v>1.1499999999999999</v>
      </c>
      <c r="P3786">
        <f t="shared" si="437"/>
        <v>1075</v>
      </c>
      <c r="Q3786" t="str">
        <f t="shared" si="434"/>
        <v>theater</v>
      </c>
      <c r="R3786" t="str">
        <f t="shared" si="435"/>
        <v>musical</v>
      </c>
      <c r="S3786" s="9">
        <f t="shared" si="438"/>
        <v>42531.772361111107</v>
      </c>
      <c r="T3786" s="9">
        <f t="shared" si="439"/>
        <v>42561.772361111107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36"/>
        <v>1.5075000000000001</v>
      </c>
      <c r="P3787">
        <f t="shared" si="437"/>
        <v>2507.5</v>
      </c>
      <c r="Q3787" t="str">
        <f t="shared" si="434"/>
        <v>theater</v>
      </c>
      <c r="R3787" t="str">
        <f t="shared" si="435"/>
        <v>musical</v>
      </c>
      <c r="S3787" s="9">
        <f t="shared" si="438"/>
        <v>42548.430196759255</v>
      </c>
      <c r="T3787" s="9">
        <f t="shared" si="439"/>
        <v>42584.210416666661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36"/>
        <v>1.1096666666666666</v>
      </c>
      <c r="P3788">
        <f t="shared" si="437"/>
        <v>6329</v>
      </c>
      <c r="Q3788" t="str">
        <f t="shared" si="434"/>
        <v>theater</v>
      </c>
      <c r="R3788" t="str">
        <f t="shared" si="435"/>
        <v>musical</v>
      </c>
      <c r="S3788" s="9">
        <f t="shared" si="438"/>
        <v>42486.829571759255</v>
      </c>
      <c r="T3788" s="9">
        <f t="shared" si="439"/>
        <v>42516.829571759255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36"/>
        <v>1.0028571428571429</v>
      </c>
      <c r="P3789">
        <f t="shared" si="437"/>
        <v>350.5</v>
      </c>
      <c r="Q3789" t="str">
        <f t="shared" si="434"/>
        <v>theater</v>
      </c>
      <c r="R3789" t="str">
        <f t="shared" si="435"/>
        <v>musical</v>
      </c>
      <c r="S3789" s="9">
        <f t="shared" si="438"/>
        <v>42167.326458333329</v>
      </c>
      <c r="T3789" s="9">
        <f t="shared" si="439"/>
        <v>42195.957638888889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36"/>
        <v>6.6666666666666671E-3</v>
      </c>
      <c r="P3790">
        <f t="shared" si="437"/>
        <v>37750</v>
      </c>
      <c r="Q3790" t="str">
        <f t="shared" si="434"/>
        <v>theater</v>
      </c>
      <c r="R3790" t="str">
        <f t="shared" si="435"/>
        <v>musical</v>
      </c>
      <c r="S3790" s="9">
        <f t="shared" si="438"/>
        <v>42333.487488425926</v>
      </c>
      <c r="T3790" s="9">
        <f t="shared" si="439"/>
        <v>42361.470833333333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36"/>
        <v>3.267605633802817E-2</v>
      </c>
      <c r="P3791">
        <f t="shared" si="437"/>
        <v>1833</v>
      </c>
      <c r="Q3791" t="str">
        <f t="shared" si="434"/>
        <v>theater</v>
      </c>
      <c r="R3791" t="str">
        <f t="shared" si="435"/>
        <v>musical</v>
      </c>
      <c r="S3791" s="9">
        <f t="shared" si="438"/>
        <v>42138.590486111112</v>
      </c>
      <c r="T3791" s="9">
        <f t="shared" si="439"/>
        <v>42170.590486111112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36"/>
        <v>0</v>
      </c>
      <c r="P3792">
        <f t="shared" si="437"/>
        <v>7500</v>
      </c>
      <c r="Q3792" t="str">
        <f t="shared" si="434"/>
        <v>theater</v>
      </c>
      <c r="R3792" t="str">
        <f t="shared" si="435"/>
        <v>musical</v>
      </c>
      <c r="S3792" s="9">
        <f t="shared" si="438"/>
        <v>42666.458599537036</v>
      </c>
      <c r="T3792" s="9">
        <f t="shared" si="439"/>
        <v>42696.5002662037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36"/>
        <v>0</v>
      </c>
      <c r="P3793">
        <f t="shared" si="437"/>
        <v>750</v>
      </c>
      <c r="Q3793" t="str">
        <f t="shared" si="434"/>
        <v>theater</v>
      </c>
      <c r="R3793" t="str">
        <f t="shared" si="435"/>
        <v>musical</v>
      </c>
      <c r="S3793" s="9">
        <f t="shared" si="438"/>
        <v>41766.4837037037</v>
      </c>
      <c r="T3793" s="9">
        <f t="shared" si="439"/>
        <v>41826.4837037037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36"/>
        <v>2.8E-3</v>
      </c>
      <c r="P3794">
        <f t="shared" si="437"/>
        <v>6267.5</v>
      </c>
      <c r="Q3794" t="str">
        <f t="shared" si="434"/>
        <v>theater</v>
      </c>
      <c r="R3794" t="str">
        <f t="shared" si="435"/>
        <v>musical</v>
      </c>
      <c r="S3794" s="9">
        <f t="shared" si="438"/>
        <v>42170.238680555551</v>
      </c>
      <c r="T3794" s="9">
        <f t="shared" si="439"/>
        <v>42200.238680555551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36"/>
        <v>0.59657142857142853</v>
      </c>
      <c r="P3795">
        <f t="shared" si="437"/>
        <v>5588</v>
      </c>
      <c r="Q3795" t="str">
        <f t="shared" si="434"/>
        <v>theater</v>
      </c>
      <c r="R3795" t="str">
        <f t="shared" si="435"/>
        <v>musical</v>
      </c>
      <c r="S3795" s="9">
        <f t="shared" si="438"/>
        <v>41968.73065972222</v>
      </c>
      <c r="T3795" s="9">
        <f t="shared" si="439"/>
        <v>41989.73065972222</v>
      </c>
    </row>
    <row r="3796" spans="1:20" ht="43.5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36"/>
        <v>0.01</v>
      </c>
      <c r="P3796">
        <f t="shared" si="437"/>
        <v>2525</v>
      </c>
      <c r="Q3796" t="str">
        <f t="shared" si="434"/>
        <v>theater</v>
      </c>
      <c r="R3796" t="str">
        <f t="shared" si="435"/>
        <v>musical</v>
      </c>
      <c r="S3796" s="9">
        <f t="shared" si="438"/>
        <v>42132.372152777774</v>
      </c>
      <c r="T3796" s="9">
        <f t="shared" si="439"/>
        <v>42162.372152777774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36"/>
        <v>1.6666666666666666E-2</v>
      </c>
      <c r="P3797">
        <f t="shared" si="437"/>
        <v>305</v>
      </c>
      <c r="Q3797" t="str">
        <f t="shared" si="434"/>
        <v>theater</v>
      </c>
      <c r="R3797" t="str">
        <f t="shared" si="435"/>
        <v>musical</v>
      </c>
      <c r="S3797" s="9">
        <f t="shared" si="438"/>
        <v>42201.227893518517</v>
      </c>
      <c r="T3797" s="9">
        <f t="shared" si="439"/>
        <v>42244.729166666664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36"/>
        <v>4.4444444444444447E-5</v>
      </c>
      <c r="P3798">
        <f t="shared" si="437"/>
        <v>11250.5</v>
      </c>
      <c r="Q3798" t="str">
        <f t="shared" si="434"/>
        <v>theater</v>
      </c>
      <c r="R3798" t="str">
        <f t="shared" si="435"/>
        <v>musical</v>
      </c>
      <c r="S3798" s="9">
        <f t="shared" si="438"/>
        <v>42688.821250000001</v>
      </c>
      <c r="T3798" s="9">
        <f t="shared" si="439"/>
        <v>42748.821250000001</v>
      </c>
    </row>
    <row r="3799" spans="1:20" ht="43.5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36"/>
        <v>0.89666666666666661</v>
      </c>
      <c r="P3799">
        <f t="shared" si="437"/>
        <v>5690</v>
      </c>
      <c r="Q3799" t="str">
        <f t="shared" si="434"/>
        <v>theater</v>
      </c>
      <c r="R3799" t="str">
        <f t="shared" si="435"/>
        <v>musical</v>
      </c>
      <c r="S3799" s="9">
        <f t="shared" si="438"/>
        <v>42084.673206018517</v>
      </c>
      <c r="T3799" s="9">
        <f t="shared" si="439"/>
        <v>42114.673206018517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36"/>
        <v>1.4642857142857143E-2</v>
      </c>
      <c r="P3800">
        <f t="shared" si="437"/>
        <v>35512.5</v>
      </c>
      <c r="Q3800" t="str">
        <f t="shared" si="434"/>
        <v>theater</v>
      </c>
      <c r="R3800" t="str">
        <f t="shared" si="435"/>
        <v>musical</v>
      </c>
      <c r="S3800" s="9">
        <f t="shared" si="438"/>
        <v>41831.514444444438</v>
      </c>
      <c r="T3800" s="9">
        <f t="shared" si="439"/>
        <v>41861.514444444438</v>
      </c>
    </row>
    <row r="3801" spans="1:20" ht="29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36"/>
        <v>4.02E-2</v>
      </c>
      <c r="P3801">
        <f t="shared" si="437"/>
        <v>5201</v>
      </c>
      <c r="Q3801" t="str">
        <f t="shared" si="434"/>
        <v>theater</v>
      </c>
      <c r="R3801" t="str">
        <f t="shared" si="435"/>
        <v>musical</v>
      </c>
      <c r="S3801" s="9">
        <f t="shared" si="438"/>
        <v>42410.722719907404</v>
      </c>
      <c r="T3801" s="9">
        <f t="shared" si="439"/>
        <v>42440.722719907404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36"/>
        <v>4.0045454545454544E-2</v>
      </c>
      <c r="P3802">
        <f t="shared" si="437"/>
        <v>11440.5</v>
      </c>
      <c r="Q3802" t="str">
        <f t="shared" si="434"/>
        <v>theater</v>
      </c>
      <c r="R3802" t="str">
        <f t="shared" si="435"/>
        <v>musical</v>
      </c>
      <c r="S3802" s="9">
        <f t="shared" si="438"/>
        <v>41982.528738425921</v>
      </c>
      <c r="T3802" s="9">
        <f t="shared" si="439"/>
        <v>42014.999305555553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36"/>
        <v>8.5199999999999998E-2</v>
      </c>
      <c r="P3803">
        <f t="shared" si="437"/>
        <v>2713</v>
      </c>
      <c r="Q3803" t="str">
        <f t="shared" si="434"/>
        <v>theater</v>
      </c>
      <c r="R3803" t="str">
        <f t="shared" si="435"/>
        <v>musical</v>
      </c>
      <c r="S3803" s="9">
        <f t="shared" si="438"/>
        <v>41975.467777777776</v>
      </c>
      <c r="T3803" s="9">
        <f t="shared" si="439"/>
        <v>42006.467777777776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36"/>
        <v>0</v>
      </c>
      <c r="P3804">
        <f t="shared" si="437"/>
        <v>1500</v>
      </c>
      <c r="Q3804" t="str">
        <f t="shared" si="434"/>
        <v>theater</v>
      </c>
      <c r="R3804" t="str">
        <f t="shared" si="435"/>
        <v>musical</v>
      </c>
      <c r="S3804" s="9">
        <f t="shared" si="438"/>
        <v>42268.917893518512</v>
      </c>
      <c r="T3804" s="9">
        <f t="shared" si="439"/>
        <v>42298.917893518512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36"/>
        <v>0.19650000000000001</v>
      </c>
      <c r="P3805">
        <f t="shared" si="437"/>
        <v>7179</v>
      </c>
      <c r="Q3805" t="str">
        <f t="shared" si="434"/>
        <v>theater</v>
      </c>
      <c r="R3805" t="str">
        <f t="shared" si="435"/>
        <v>musical</v>
      </c>
      <c r="S3805" s="9">
        <f t="shared" si="438"/>
        <v>42403.763518518514</v>
      </c>
      <c r="T3805" s="9">
        <f t="shared" si="439"/>
        <v>42433.763518518514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36"/>
        <v>0</v>
      </c>
      <c r="P3806">
        <f t="shared" si="437"/>
        <v>4000</v>
      </c>
      <c r="Q3806" t="str">
        <f t="shared" si="434"/>
        <v>theater</v>
      </c>
      <c r="R3806" t="str">
        <f t="shared" si="435"/>
        <v>musical</v>
      </c>
      <c r="S3806" s="9">
        <f t="shared" si="438"/>
        <v>42526.801203703704</v>
      </c>
      <c r="T3806" s="9">
        <f t="shared" si="439"/>
        <v>42582.083333333336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36"/>
        <v>2.0000000000000002E-5</v>
      </c>
      <c r="P3807">
        <f t="shared" si="437"/>
        <v>75001.5</v>
      </c>
      <c r="Q3807" t="str">
        <f t="shared" si="434"/>
        <v>theater</v>
      </c>
      <c r="R3807" t="str">
        <f t="shared" si="435"/>
        <v>musical</v>
      </c>
      <c r="S3807" s="9">
        <f t="shared" si="438"/>
        <v>41849.678703703699</v>
      </c>
      <c r="T3807" s="9">
        <f t="shared" si="439"/>
        <v>41909.678703703699</v>
      </c>
    </row>
    <row r="3808" spans="1:20" ht="43.5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36"/>
        <v>6.6666666666666664E-4</v>
      </c>
      <c r="P3808">
        <f t="shared" si="437"/>
        <v>3752.5</v>
      </c>
      <c r="Q3808" t="str">
        <f t="shared" si="434"/>
        <v>theater</v>
      </c>
      <c r="R3808" t="str">
        <f t="shared" si="435"/>
        <v>musical</v>
      </c>
      <c r="S3808" s="9">
        <f t="shared" si="438"/>
        <v>41799.050706018512</v>
      </c>
      <c r="T3808" s="9">
        <f t="shared" si="439"/>
        <v>41819.050706018512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36"/>
        <v>0.30333333333333334</v>
      </c>
      <c r="P3809">
        <f t="shared" si="437"/>
        <v>977.5</v>
      </c>
      <c r="Q3809" t="str">
        <f t="shared" si="434"/>
        <v>theater</v>
      </c>
      <c r="R3809" t="str">
        <f t="shared" si="435"/>
        <v>musical</v>
      </c>
      <c r="S3809" s="9">
        <f t="shared" si="438"/>
        <v>42090.700682870367</v>
      </c>
      <c r="T3809" s="9">
        <f t="shared" si="439"/>
        <v>42097.700682870367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36"/>
        <v>1</v>
      </c>
      <c r="P3810">
        <f t="shared" si="437"/>
        <v>1000</v>
      </c>
      <c r="Q3810" t="str">
        <f>IF(N3810="theater/plays","theater")</f>
        <v>theater</v>
      </c>
      <c r="R3810" t="str">
        <f>IF(N3810="theater/plays","plays")</f>
        <v>plays</v>
      </c>
      <c r="S3810" s="9">
        <f t="shared" si="438"/>
        <v>42059.24559027778</v>
      </c>
      <c r="T3810" s="9">
        <f t="shared" si="439"/>
        <v>42119.203923611109</v>
      </c>
    </row>
    <row r="3811" spans="1:20" ht="43.5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36"/>
        <v>1.0125</v>
      </c>
      <c r="P3811">
        <f t="shared" si="437"/>
        <v>2012.5</v>
      </c>
      <c r="Q3811" t="str">
        <f t="shared" ref="Q3811:Q3869" si="440">IF(N3811="theater/plays","theater")</f>
        <v>theater</v>
      </c>
      <c r="R3811" t="str">
        <f t="shared" ref="R3811:R3869" si="441">IF(N3811="theater/plays","plays")</f>
        <v>plays</v>
      </c>
      <c r="S3811" s="9">
        <f t="shared" si="438"/>
        <v>41800.318368055552</v>
      </c>
      <c r="T3811" s="9">
        <f t="shared" si="439"/>
        <v>41850.75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36"/>
        <v>1.2173333333333334</v>
      </c>
      <c r="P3812">
        <f t="shared" si="437"/>
        <v>1663</v>
      </c>
      <c r="Q3812" t="str">
        <f t="shared" si="440"/>
        <v>theater</v>
      </c>
      <c r="R3812" t="str">
        <f t="shared" si="441"/>
        <v>plays</v>
      </c>
      <c r="S3812" s="9">
        <f t="shared" si="438"/>
        <v>42054.640717592592</v>
      </c>
      <c r="T3812" s="9">
        <f t="shared" si="439"/>
        <v>42084.599050925921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36"/>
        <v>3.3</v>
      </c>
      <c r="P3813">
        <f t="shared" si="437"/>
        <v>537.5</v>
      </c>
      <c r="Q3813" t="str">
        <f t="shared" si="440"/>
        <v>theater</v>
      </c>
      <c r="R3813" t="str">
        <f t="shared" si="441"/>
        <v>plays</v>
      </c>
      <c r="S3813" s="9">
        <f t="shared" si="438"/>
        <v>42487.418668981474</v>
      </c>
      <c r="T3813" s="9">
        <f t="shared" si="439"/>
        <v>42521.249999999993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36"/>
        <v>1.0954999999999999</v>
      </c>
      <c r="P3814">
        <f t="shared" si="437"/>
        <v>2095.5</v>
      </c>
      <c r="Q3814" t="str">
        <f t="shared" si="440"/>
        <v>theater</v>
      </c>
      <c r="R3814" t="str">
        <f t="shared" si="441"/>
        <v>plays</v>
      </c>
      <c r="S3814" s="9">
        <f t="shared" si="438"/>
        <v>42109.542916666665</v>
      </c>
      <c r="T3814" s="9">
        <f t="shared" si="439"/>
        <v>42155.957638888889</v>
      </c>
    </row>
    <row r="3815" spans="1:20" ht="43.5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36"/>
        <v>1.0095190476190474</v>
      </c>
      <c r="P3815">
        <f t="shared" si="437"/>
        <v>2109.9949999999999</v>
      </c>
      <c r="Q3815" t="str">
        <f t="shared" si="440"/>
        <v>theater</v>
      </c>
      <c r="R3815" t="str">
        <f t="shared" si="441"/>
        <v>plays</v>
      </c>
      <c r="S3815" s="9">
        <f t="shared" si="438"/>
        <v>42497.067372685182</v>
      </c>
      <c r="T3815" s="9">
        <f t="shared" si="439"/>
        <v>42535.696527777771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36"/>
        <v>1.4013333333333333</v>
      </c>
      <c r="P3816">
        <f t="shared" si="437"/>
        <v>1801</v>
      </c>
      <c r="Q3816" t="str">
        <f t="shared" si="440"/>
        <v>theater</v>
      </c>
      <c r="R3816" t="str">
        <f t="shared" si="441"/>
        <v>plays</v>
      </c>
      <c r="S3816" s="9">
        <f t="shared" si="438"/>
        <v>42058.695740740739</v>
      </c>
      <c r="T3816" s="9">
        <f t="shared" si="439"/>
        <v>42094.957638888889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36"/>
        <v>1.0000100000000001</v>
      </c>
      <c r="P3817">
        <f t="shared" si="437"/>
        <v>1000.005</v>
      </c>
      <c r="Q3817" t="str">
        <f t="shared" si="440"/>
        <v>theater</v>
      </c>
      <c r="R3817" t="str">
        <f t="shared" si="441"/>
        <v>plays</v>
      </c>
      <c r="S3817" s="9">
        <f t="shared" si="438"/>
        <v>42207.051585648143</v>
      </c>
      <c r="T3817" s="9">
        <f t="shared" si="439"/>
        <v>42236.749999999993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36"/>
        <v>1.19238</v>
      </c>
      <c r="P3818">
        <f t="shared" si="437"/>
        <v>1644.2849999999999</v>
      </c>
      <c r="Q3818" t="str">
        <f t="shared" si="440"/>
        <v>theater</v>
      </c>
      <c r="R3818" t="str">
        <f t="shared" si="441"/>
        <v>plays</v>
      </c>
      <c r="S3818" s="9">
        <f t="shared" si="438"/>
        <v>41807.481747685182</v>
      </c>
      <c r="T3818" s="9">
        <f t="shared" si="439"/>
        <v>41837.481747685182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36"/>
        <v>1.0725</v>
      </c>
      <c r="P3819">
        <f t="shared" si="437"/>
        <v>2072.5</v>
      </c>
      <c r="Q3819" t="str">
        <f t="shared" si="440"/>
        <v>theater</v>
      </c>
      <c r="R3819" t="str">
        <f t="shared" si="441"/>
        <v>plays</v>
      </c>
      <c r="S3819" s="9">
        <f t="shared" si="438"/>
        <v>42284.488611111105</v>
      </c>
      <c r="T3819" s="9">
        <f t="shared" si="439"/>
        <v>42300.957638888889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36"/>
        <v>2.2799999999999998</v>
      </c>
      <c r="P3820">
        <f t="shared" si="437"/>
        <v>410</v>
      </c>
      <c r="Q3820" t="str">
        <f t="shared" si="440"/>
        <v>theater</v>
      </c>
      <c r="R3820" t="str">
        <f t="shared" si="441"/>
        <v>plays</v>
      </c>
      <c r="S3820" s="9">
        <f t="shared" si="438"/>
        <v>42045.634050925924</v>
      </c>
      <c r="T3820" s="9">
        <f t="shared" si="439"/>
        <v>42075.592384259253</v>
      </c>
    </row>
    <row r="3821" spans="1:20" ht="29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36"/>
        <v>1.0640000000000001</v>
      </c>
      <c r="P3821">
        <f t="shared" si="437"/>
        <v>1032</v>
      </c>
      <c r="Q3821" t="str">
        <f t="shared" si="440"/>
        <v>theater</v>
      </c>
      <c r="R3821" t="str">
        <f t="shared" si="441"/>
        <v>plays</v>
      </c>
      <c r="S3821" s="9">
        <f t="shared" si="438"/>
        <v>42184.001203703701</v>
      </c>
      <c r="T3821" s="9">
        <f t="shared" si="439"/>
        <v>42202.668055555558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36"/>
        <v>1.4333333333333333</v>
      </c>
      <c r="P3822">
        <f t="shared" si="437"/>
        <v>365</v>
      </c>
      <c r="Q3822" t="str">
        <f t="shared" si="440"/>
        <v>theater</v>
      </c>
      <c r="R3822" t="str">
        <f t="shared" si="441"/>
        <v>plays</v>
      </c>
      <c r="S3822" s="9">
        <f t="shared" si="438"/>
        <v>42160.443483796298</v>
      </c>
      <c r="T3822" s="9">
        <f t="shared" si="439"/>
        <v>42190.443483796298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36"/>
        <v>1.0454285714285714</v>
      </c>
      <c r="P3823">
        <f t="shared" si="437"/>
        <v>3579.5</v>
      </c>
      <c r="Q3823" t="str">
        <f t="shared" si="440"/>
        <v>theater</v>
      </c>
      <c r="R3823" t="str">
        <f t="shared" si="441"/>
        <v>plays</v>
      </c>
      <c r="S3823" s="9">
        <f t="shared" si="438"/>
        <v>42340.972303240742</v>
      </c>
      <c r="T3823" s="9">
        <f t="shared" si="439"/>
        <v>42372.972303240742</v>
      </c>
    </row>
    <row r="3824" spans="1:20" ht="43.5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36"/>
        <v>1.1002000000000001</v>
      </c>
      <c r="P3824">
        <f t="shared" si="437"/>
        <v>5250.5</v>
      </c>
      <c r="Q3824" t="str">
        <f t="shared" si="440"/>
        <v>theater</v>
      </c>
      <c r="R3824" t="str">
        <f t="shared" si="441"/>
        <v>plays</v>
      </c>
      <c r="S3824" s="9">
        <f t="shared" si="438"/>
        <v>42329.629826388882</v>
      </c>
      <c r="T3824" s="9">
        <f t="shared" si="439"/>
        <v>42388.749305555553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36"/>
        <v>1.06</v>
      </c>
      <c r="P3825">
        <f t="shared" si="437"/>
        <v>2575</v>
      </c>
      <c r="Q3825" t="str">
        <f t="shared" si="440"/>
        <v>theater</v>
      </c>
      <c r="R3825" t="str">
        <f t="shared" si="441"/>
        <v>plays</v>
      </c>
      <c r="S3825" s="9">
        <f t="shared" si="438"/>
        <v>42170.701898148145</v>
      </c>
      <c r="T3825" s="9">
        <f t="shared" si="439"/>
        <v>42204.957638888889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36"/>
        <v>1.08</v>
      </c>
      <c r="P3826">
        <f t="shared" si="437"/>
        <v>260</v>
      </c>
      <c r="Q3826" t="str">
        <f t="shared" si="440"/>
        <v>theater</v>
      </c>
      <c r="R3826" t="str">
        <f t="shared" si="441"/>
        <v>plays</v>
      </c>
      <c r="S3826" s="9">
        <f t="shared" si="438"/>
        <v>42571.417858796289</v>
      </c>
      <c r="T3826" s="9">
        <f t="shared" si="439"/>
        <v>42583.361805555549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36"/>
        <v>1.0542</v>
      </c>
      <c r="P3827">
        <f t="shared" si="437"/>
        <v>5135.5</v>
      </c>
      <c r="Q3827" t="str">
        <f t="shared" si="440"/>
        <v>theater</v>
      </c>
      <c r="R3827" t="str">
        <f t="shared" si="441"/>
        <v>plays</v>
      </c>
      <c r="S3827" s="9">
        <f t="shared" si="438"/>
        <v>42150.861273148148</v>
      </c>
      <c r="T3827" s="9">
        <f t="shared" si="439"/>
        <v>42171.861273148148</v>
      </c>
    </row>
    <row r="3828" spans="1:20" ht="29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36"/>
        <v>1.1916666666666667</v>
      </c>
      <c r="P3828">
        <f t="shared" si="437"/>
        <v>657.5</v>
      </c>
      <c r="Q3828" t="str">
        <f t="shared" si="440"/>
        <v>theater</v>
      </c>
      <c r="R3828" t="str">
        <f t="shared" si="441"/>
        <v>plays</v>
      </c>
      <c r="S3828" s="9">
        <f t="shared" si="438"/>
        <v>42101.215208333328</v>
      </c>
      <c r="T3828" s="9">
        <f t="shared" si="439"/>
        <v>42131.215208333328</v>
      </c>
    </row>
    <row r="3829" spans="1:20" ht="43.5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36"/>
        <v>1.5266666666666666</v>
      </c>
      <c r="P3829">
        <f t="shared" si="437"/>
        <v>3790</v>
      </c>
      <c r="Q3829" t="str">
        <f t="shared" si="440"/>
        <v>theater</v>
      </c>
      <c r="R3829" t="str">
        <f t="shared" si="441"/>
        <v>plays</v>
      </c>
      <c r="S3829" s="9">
        <f t="shared" si="438"/>
        <v>42034.719918981478</v>
      </c>
      <c r="T3829" s="9">
        <f t="shared" si="439"/>
        <v>42089.791666666664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36"/>
        <v>1</v>
      </c>
      <c r="P3830">
        <f t="shared" si="437"/>
        <v>5000</v>
      </c>
      <c r="Q3830" t="str">
        <f t="shared" si="440"/>
        <v>theater</v>
      </c>
      <c r="R3830" t="str">
        <f t="shared" si="441"/>
        <v>plays</v>
      </c>
      <c r="S3830" s="9">
        <f t="shared" si="438"/>
        <v>41944.319293981483</v>
      </c>
      <c r="T3830" s="9">
        <f t="shared" si="439"/>
        <v>42004.36096064814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36"/>
        <v>1.002</v>
      </c>
      <c r="P3831">
        <f t="shared" si="437"/>
        <v>500.5</v>
      </c>
      <c r="Q3831" t="str">
        <f t="shared" si="440"/>
        <v>theater</v>
      </c>
      <c r="R3831" t="str">
        <f t="shared" si="441"/>
        <v>plays</v>
      </c>
      <c r="S3831" s="9">
        <f t="shared" si="438"/>
        <v>42593.657071759262</v>
      </c>
      <c r="T3831" s="9">
        <f t="shared" si="439"/>
        <v>42613.657071759262</v>
      </c>
    </row>
    <row r="3832" spans="1:20" ht="29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36"/>
        <v>2.25</v>
      </c>
      <c r="P3832">
        <f t="shared" si="437"/>
        <v>162.5</v>
      </c>
      <c r="Q3832" t="str">
        <f t="shared" si="440"/>
        <v>theater</v>
      </c>
      <c r="R3832" t="str">
        <f t="shared" si="441"/>
        <v>plays</v>
      </c>
      <c r="S3832" s="9">
        <f t="shared" si="438"/>
        <v>42503.532534722217</v>
      </c>
      <c r="T3832" s="9">
        <f t="shared" si="439"/>
        <v>42517.532534722217</v>
      </c>
    </row>
    <row r="3833" spans="1:20" ht="43.5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36"/>
        <v>1.0602199999999999</v>
      </c>
      <c r="P3833">
        <f t="shared" si="437"/>
        <v>515.05500000000006</v>
      </c>
      <c r="Q3833" t="str">
        <f t="shared" si="440"/>
        <v>theater</v>
      </c>
      <c r="R3833" t="str">
        <f t="shared" si="441"/>
        <v>plays</v>
      </c>
      <c r="S3833" s="9">
        <f t="shared" si="438"/>
        <v>41927.640567129631</v>
      </c>
      <c r="T3833" s="9">
        <f t="shared" si="439"/>
        <v>41948.682233796295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36"/>
        <v>1.0466666666666666</v>
      </c>
      <c r="P3834">
        <f t="shared" si="437"/>
        <v>1228</v>
      </c>
      <c r="Q3834" t="str">
        <f t="shared" si="440"/>
        <v>theater</v>
      </c>
      <c r="R3834" t="str">
        <f t="shared" si="441"/>
        <v>plays</v>
      </c>
      <c r="S3834" s="9">
        <f t="shared" si="438"/>
        <v>42374.906655092585</v>
      </c>
      <c r="T3834" s="9">
        <f t="shared" si="439"/>
        <v>42419.906655092585</v>
      </c>
    </row>
    <row r="3835" spans="1:20" ht="43.5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36"/>
        <v>1.1666666666666667</v>
      </c>
      <c r="P3835">
        <f t="shared" si="437"/>
        <v>1300</v>
      </c>
      <c r="Q3835" t="str">
        <f t="shared" si="440"/>
        <v>theater</v>
      </c>
      <c r="R3835" t="str">
        <f t="shared" si="441"/>
        <v>plays</v>
      </c>
      <c r="S3835" s="9">
        <f t="shared" si="438"/>
        <v>41963.664027777777</v>
      </c>
      <c r="T3835" s="9">
        <f t="shared" si="439"/>
        <v>41974.589583333327</v>
      </c>
    </row>
    <row r="3836" spans="1:20" ht="43.5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36"/>
        <v>1.0903333333333334</v>
      </c>
      <c r="P3836">
        <f t="shared" si="437"/>
        <v>3135.5</v>
      </c>
      <c r="Q3836" t="str">
        <f t="shared" si="440"/>
        <v>theater</v>
      </c>
      <c r="R3836" t="str">
        <f t="shared" si="441"/>
        <v>plays</v>
      </c>
      <c r="S3836" s="9">
        <f t="shared" si="438"/>
        <v>42143.236886574072</v>
      </c>
      <c r="T3836" s="9">
        <f t="shared" si="439"/>
        <v>42173.236886574072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36"/>
        <v>1.6</v>
      </c>
      <c r="P3837">
        <f t="shared" si="437"/>
        <v>260</v>
      </c>
      <c r="Q3837" t="str">
        <f t="shared" si="440"/>
        <v>theater</v>
      </c>
      <c r="R3837" t="str">
        <f t="shared" si="441"/>
        <v>plays</v>
      </c>
      <c r="S3837" s="9">
        <f t="shared" si="438"/>
        <v>42460.733888888884</v>
      </c>
      <c r="T3837" s="9">
        <f t="shared" si="439"/>
        <v>42481.733888888884</v>
      </c>
    </row>
    <row r="3838" spans="1:20" ht="29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36"/>
        <v>1.125</v>
      </c>
      <c r="P3838">
        <f t="shared" si="437"/>
        <v>850</v>
      </c>
      <c r="Q3838" t="str">
        <f t="shared" si="440"/>
        <v>theater</v>
      </c>
      <c r="R3838" t="str">
        <f t="shared" si="441"/>
        <v>plays</v>
      </c>
      <c r="S3838" s="9">
        <f t="shared" si="438"/>
        <v>42553.718194444438</v>
      </c>
      <c r="T3838" s="9">
        <f t="shared" si="439"/>
        <v>42584.964583333327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36"/>
        <v>1.0209999999999999</v>
      </c>
      <c r="P3839">
        <f t="shared" si="437"/>
        <v>2021</v>
      </c>
      <c r="Q3839" t="str">
        <f t="shared" si="440"/>
        <v>theater</v>
      </c>
      <c r="R3839" t="str">
        <f t="shared" si="441"/>
        <v>plays</v>
      </c>
      <c r="S3839" s="9">
        <f t="shared" si="438"/>
        <v>42152.557384259257</v>
      </c>
      <c r="T3839" s="9">
        <f t="shared" si="439"/>
        <v>42188.557384259257</v>
      </c>
    </row>
    <row r="3840" spans="1:20" ht="43.5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36"/>
        <v>1.00824</v>
      </c>
      <c r="P3840">
        <f t="shared" si="437"/>
        <v>100412</v>
      </c>
      <c r="Q3840" t="str">
        <f t="shared" si="440"/>
        <v>theater</v>
      </c>
      <c r="R3840" t="str">
        <f t="shared" si="441"/>
        <v>plays</v>
      </c>
      <c r="S3840" s="9">
        <f t="shared" si="438"/>
        <v>42116.502418981479</v>
      </c>
      <c r="T3840" s="9">
        <f t="shared" si="439"/>
        <v>42146.502418981479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36"/>
        <v>1.0125</v>
      </c>
      <c r="P3841">
        <f t="shared" si="437"/>
        <v>2012.5</v>
      </c>
      <c r="Q3841" t="str">
        <f t="shared" si="440"/>
        <v>theater</v>
      </c>
      <c r="R3841" t="str">
        <f t="shared" si="441"/>
        <v>plays</v>
      </c>
      <c r="S3841" s="9">
        <f t="shared" si="438"/>
        <v>42154.934305555558</v>
      </c>
      <c r="T3841" s="9">
        <f t="shared" si="439"/>
        <v>42214.934305555558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36"/>
        <v>65</v>
      </c>
      <c r="P3842">
        <f t="shared" si="437"/>
        <v>33</v>
      </c>
      <c r="Q3842" t="str">
        <f t="shared" si="440"/>
        <v>theater</v>
      </c>
      <c r="R3842" t="str">
        <f t="shared" si="441"/>
        <v>plays</v>
      </c>
      <c r="S3842" s="9">
        <f t="shared" si="438"/>
        <v>42432.493391203701</v>
      </c>
      <c r="T3842" s="9">
        <f t="shared" si="439"/>
        <v>42457.45172453703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442">E3843/D3843</f>
        <v>8.72E-2</v>
      </c>
      <c r="P3843">
        <f t="shared" ref="P3843:P3906" si="443">AVERAGE(D3843:E3843)</f>
        <v>5436</v>
      </c>
      <c r="Q3843" t="str">
        <f t="shared" si="440"/>
        <v>theater</v>
      </c>
      <c r="R3843" t="str">
        <f t="shared" si="441"/>
        <v>plays</v>
      </c>
      <c r="S3843" s="9">
        <f t="shared" ref="S3843:S3906" si="444">J3843/86400+25569+(-5/24)</f>
        <v>41780.57739583333</v>
      </c>
      <c r="T3843" s="9">
        <f t="shared" si="439"/>
        <v>41840.57739583333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42"/>
        <v>0.21940000000000001</v>
      </c>
      <c r="P3844">
        <f t="shared" si="443"/>
        <v>3048.5</v>
      </c>
      <c r="Q3844" t="str">
        <f t="shared" si="440"/>
        <v>theater</v>
      </c>
      <c r="R3844" t="str">
        <f t="shared" si="441"/>
        <v>plays</v>
      </c>
      <c r="S3844" s="9">
        <f t="shared" si="444"/>
        <v>41740.285324074073</v>
      </c>
      <c r="T3844" s="9">
        <f t="shared" ref="T3844:T3907" si="445">I3844/86400+25569+(-5/24)</f>
        <v>41770.285324074073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42"/>
        <v>0.21299999999999999</v>
      </c>
      <c r="P3845">
        <f t="shared" si="443"/>
        <v>3032.5</v>
      </c>
      <c r="Q3845" t="str">
        <f t="shared" si="440"/>
        <v>theater</v>
      </c>
      <c r="R3845" t="str">
        <f t="shared" si="441"/>
        <v>plays</v>
      </c>
      <c r="S3845" s="9">
        <f t="shared" si="444"/>
        <v>41765.864166666666</v>
      </c>
      <c r="T3845" s="9">
        <f t="shared" si="445"/>
        <v>41790.864166666666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42"/>
        <v>0.41489795918367345</v>
      </c>
      <c r="P3846">
        <f t="shared" si="443"/>
        <v>6933</v>
      </c>
      <c r="Q3846" t="str">
        <f t="shared" si="440"/>
        <v>theater</v>
      </c>
      <c r="R3846" t="str">
        <f t="shared" si="441"/>
        <v>plays</v>
      </c>
      <c r="S3846" s="9">
        <f t="shared" si="444"/>
        <v>41766.408958333333</v>
      </c>
      <c r="T3846" s="9">
        <f t="shared" si="445"/>
        <v>41793.082638888889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42"/>
        <v>2.1049999999999999E-2</v>
      </c>
      <c r="P3847">
        <f t="shared" si="443"/>
        <v>20421</v>
      </c>
      <c r="Q3847" t="str">
        <f t="shared" si="440"/>
        <v>theater</v>
      </c>
      <c r="R3847" t="str">
        <f t="shared" si="441"/>
        <v>plays</v>
      </c>
      <c r="S3847" s="9">
        <f t="shared" si="444"/>
        <v>42248.418680555558</v>
      </c>
      <c r="T3847" s="9">
        <f t="shared" si="445"/>
        <v>42278.418680555558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42"/>
        <v>2.7E-2</v>
      </c>
      <c r="P3848">
        <f t="shared" si="443"/>
        <v>3594.5</v>
      </c>
      <c r="Q3848" t="str">
        <f t="shared" si="440"/>
        <v>theater</v>
      </c>
      <c r="R3848" t="str">
        <f t="shared" si="441"/>
        <v>plays</v>
      </c>
      <c r="S3848" s="9">
        <f t="shared" si="444"/>
        <v>41885.01321759259</v>
      </c>
      <c r="T3848" s="9">
        <f t="shared" si="445"/>
        <v>41916.082638888889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42"/>
        <v>0.16161904761904761</v>
      </c>
      <c r="P3849">
        <f t="shared" si="443"/>
        <v>6098.5</v>
      </c>
      <c r="Q3849" t="str">
        <f t="shared" si="440"/>
        <v>theater</v>
      </c>
      <c r="R3849" t="str">
        <f t="shared" si="441"/>
        <v>plays</v>
      </c>
      <c r="S3849" s="9">
        <f t="shared" si="444"/>
        <v>42159.016099537032</v>
      </c>
      <c r="T3849" s="9">
        <f t="shared" si="445"/>
        <v>42204.016099537032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42"/>
        <v>0.16376923076923078</v>
      </c>
      <c r="P3850">
        <f t="shared" si="443"/>
        <v>7564.5</v>
      </c>
      <c r="Q3850" t="str">
        <f t="shared" si="440"/>
        <v>theater</v>
      </c>
      <c r="R3850" t="str">
        <f t="shared" si="441"/>
        <v>plays</v>
      </c>
      <c r="S3850" s="9">
        <f t="shared" si="444"/>
        <v>42265.608668981477</v>
      </c>
      <c r="T3850" s="9">
        <f t="shared" si="445"/>
        <v>42295.608668981477</v>
      </c>
    </row>
    <row r="3851" spans="1:20" ht="43.5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42"/>
        <v>7.0433333333333334E-2</v>
      </c>
      <c r="P3851">
        <f t="shared" si="443"/>
        <v>16056.5</v>
      </c>
      <c r="Q3851" t="str">
        <f t="shared" si="440"/>
        <v>theater</v>
      </c>
      <c r="R3851" t="str">
        <f t="shared" si="441"/>
        <v>plays</v>
      </c>
      <c r="S3851" s="9">
        <f t="shared" si="444"/>
        <v>42136.558842592589</v>
      </c>
      <c r="T3851" s="9">
        <f t="shared" si="445"/>
        <v>42166.558842592589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42"/>
        <v>3.7999999999999999E-2</v>
      </c>
      <c r="P3852">
        <f t="shared" si="443"/>
        <v>519</v>
      </c>
      <c r="Q3852" t="str">
        <f t="shared" si="440"/>
        <v>theater</v>
      </c>
      <c r="R3852" t="str">
        <f t="shared" si="441"/>
        <v>plays</v>
      </c>
      <c r="S3852" s="9">
        <f t="shared" si="444"/>
        <v>41974.916006944441</v>
      </c>
      <c r="T3852" s="9">
        <f t="shared" si="445"/>
        <v>42004.916006944441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42"/>
        <v>0.34079999999999999</v>
      </c>
      <c r="P3853">
        <f t="shared" si="443"/>
        <v>1676</v>
      </c>
      <c r="Q3853" t="str">
        <f t="shared" si="440"/>
        <v>theater</v>
      </c>
      <c r="R3853" t="str">
        <f t="shared" si="441"/>
        <v>plays</v>
      </c>
      <c r="S3853" s="9">
        <f t="shared" si="444"/>
        <v>42172.23123842592</v>
      </c>
      <c r="T3853" s="9">
        <f t="shared" si="445"/>
        <v>42202.23123842592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42"/>
        <v>2E-3</v>
      </c>
      <c r="P3854">
        <f t="shared" si="443"/>
        <v>5010</v>
      </c>
      <c r="Q3854" t="str">
        <f t="shared" si="440"/>
        <v>theater</v>
      </c>
      <c r="R3854" t="str">
        <f t="shared" si="441"/>
        <v>plays</v>
      </c>
      <c r="S3854" s="9">
        <f t="shared" si="444"/>
        <v>42064.982361111113</v>
      </c>
      <c r="T3854" s="9">
        <f t="shared" si="445"/>
        <v>42089.940694444442</v>
      </c>
    </row>
    <row r="3855" spans="1:20" ht="29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42"/>
        <v>2.5999999999999998E-4</v>
      </c>
      <c r="P3855">
        <f t="shared" si="443"/>
        <v>50013</v>
      </c>
      <c r="Q3855" t="str">
        <f t="shared" si="440"/>
        <v>theater</v>
      </c>
      <c r="R3855" t="str">
        <f t="shared" si="441"/>
        <v>plays</v>
      </c>
      <c r="S3855" s="9">
        <f t="shared" si="444"/>
        <v>41848.631689814814</v>
      </c>
      <c r="T3855" s="9">
        <f t="shared" si="445"/>
        <v>41883.631689814814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42"/>
        <v>0.16254545454545455</v>
      </c>
      <c r="P3856">
        <f t="shared" si="443"/>
        <v>6394</v>
      </c>
      <c r="Q3856" t="str">
        <f t="shared" si="440"/>
        <v>theater</v>
      </c>
      <c r="R3856" t="str">
        <f t="shared" si="441"/>
        <v>plays</v>
      </c>
      <c r="S3856" s="9">
        <f t="shared" si="444"/>
        <v>42103.67659722222</v>
      </c>
      <c r="T3856" s="9">
        <f t="shared" si="445"/>
        <v>42133.67659722222</v>
      </c>
    </row>
    <row r="3857" spans="1:20" ht="43.5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42"/>
        <v>2.5000000000000001E-2</v>
      </c>
      <c r="P3857">
        <f t="shared" si="443"/>
        <v>512.5</v>
      </c>
      <c r="Q3857" t="str">
        <f t="shared" si="440"/>
        <v>theater</v>
      </c>
      <c r="R3857" t="str">
        <f t="shared" si="441"/>
        <v>plays</v>
      </c>
      <c r="S3857" s="9">
        <f t="shared" si="444"/>
        <v>42059.762395833335</v>
      </c>
      <c r="T3857" s="9">
        <f t="shared" si="445"/>
        <v>42089.720729166664</v>
      </c>
    </row>
    <row r="3858" spans="1:20" ht="43.5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42"/>
        <v>2.0000000000000001E-4</v>
      </c>
      <c r="P3858">
        <f t="shared" si="443"/>
        <v>2500.5</v>
      </c>
      <c r="Q3858" t="str">
        <f t="shared" si="440"/>
        <v>theater</v>
      </c>
      <c r="R3858" t="str">
        <f t="shared" si="441"/>
        <v>plays</v>
      </c>
      <c r="S3858" s="9">
        <f t="shared" si="444"/>
        <v>42041.534756944442</v>
      </c>
      <c r="T3858" s="9">
        <f t="shared" si="445"/>
        <v>42071.493090277778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42"/>
        <v>5.1999999999999998E-2</v>
      </c>
      <c r="P3859">
        <f t="shared" si="443"/>
        <v>2630</v>
      </c>
      <c r="Q3859" t="str">
        <f t="shared" si="440"/>
        <v>theater</v>
      </c>
      <c r="R3859" t="str">
        <f t="shared" si="441"/>
        <v>plays</v>
      </c>
      <c r="S3859" s="9">
        <f t="shared" si="444"/>
        <v>41829.528819444444</v>
      </c>
      <c r="T3859" s="9">
        <f t="shared" si="445"/>
        <v>41852.508333333331</v>
      </c>
    </row>
    <row r="3860" spans="1:20" ht="43.5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42"/>
        <v>0.02</v>
      </c>
      <c r="P3860">
        <f t="shared" si="443"/>
        <v>255</v>
      </c>
      <c r="Q3860" t="str">
        <f t="shared" si="440"/>
        <v>theater</v>
      </c>
      <c r="R3860" t="str">
        <f t="shared" si="441"/>
        <v>plays</v>
      </c>
      <c r="S3860" s="9">
        <f t="shared" si="444"/>
        <v>42128.222731481474</v>
      </c>
      <c r="T3860" s="9">
        <f t="shared" si="445"/>
        <v>42146.666666666664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42"/>
        <v>4.0000000000000002E-4</v>
      </c>
      <c r="P3861">
        <f t="shared" si="443"/>
        <v>1250.5</v>
      </c>
      <c r="Q3861" t="str">
        <f t="shared" si="440"/>
        <v>theater</v>
      </c>
      <c r="R3861" t="str">
        <f t="shared" si="441"/>
        <v>plays</v>
      </c>
      <c r="S3861" s="9">
        <f t="shared" si="444"/>
        <v>41789.685266203705</v>
      </c>
      <c r="T3861" s="9">
        <f t="shared" si="445"/>
        <v>41815.666666666664</v>
      </c>
    </row>
    <row r="3862" spans="1:20" ht="43.5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42"/>
        <v>0.17666666666666667</v>
      </c>
      <c r="P3862">
        <f t="shared" si="443"/>
        <v>3530</v>
      </c>
      <c r="Q3862" t="str">
        <f t="shared" si="440"/>
        <v>theater</v>
      </c>
      <c r="R3862" t="str">
        <f t="shared" si="441"/>
        <v>plays</v>
      </c>
      <c r="S3862" s="9">
        <f t="shared" si="444"/>
        <v>41833.452662037038</v>
      </c>
      <c r="T3862" s="9">
        <f t="shared" si="445"/>
        <v>41863.452662037038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42"/>
        <v>0.05</v>
      </c>
      <c r="P3863">
        <f t="shared" si="443"/>
        <v>1050</v>
      </c>
      <c r="Q3863" t="str">
        <f t="shared" si="440"/>
        <v>theater</v>
      </c>
      <c r="R3863" t="str">
        <f t="shared" si="441"/>
        <v>plays</v>
      </c>
      <c r="S3863" s="9">
        <f t="shared" si="444"/>
        <v>41914.381678240738</v>
      </c>
      <c r="T3863" s="9">
        <f t="shared" si="445"/>
        <v>41955.699305555558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42"/>
        <v>1.3333333333333334E-4</v>
      </c>
      <c r="P3864">
        <f t="shared" si="443"/>
        <v>3750.5</v>
      </c>
      <c r="Q3864" t="str">
        <f t="shared" si="440"/>
        <v>theater</v>
      </c>
      <c r="R3864" t="str">
        <f t="shared" si="441"/>
        <v>plays</v>
      </c>
      <c r="S3864" s="9">
        <f t="shared" si="444"/>
        <v>42611.052731481475</v>
      </c>
      <c r="T3864" s="9">
        <f t="shared" si="445"/>
        <v>42625.499305555553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42"/>
        <v>0</v>
      </c>
      <c r="P3865">
        <f t="shared" si="443"/>
        <v>3000</v>
      </c>
      <c r="Q3865" t="str">
        <f t="shared" si="440"/>
        <v>theater</v>
      </c>
      <c r="R3865" t="str">
        <f t="shared" si="441"/>
        <v>plays</v>
      </c>
      <c r="S3865" s="9">
        <f t="shared" si="444"/>
        <v>42253.424826388888</v>
      </c>
      <c r="T3865" s="9">
        <f t="shared" si="445"/>
        <v>42313.466493055552</v>
      </c>
    </row>
    <row r="3866" spans="1:20" ht="43.5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42"/>
        <v>1.2E-2</v>
      </c>
      <c r="P3866">
        <f t="shared" si="443"/>
        <v>2530</v>
      </c>
      <c r="Q3866" t="str">
        <f t="shared" si="440"/>
        <v>theater</v>
      </c>
      <c r="R3866" t="str">
        <f t="shared" si="441"/>
        <v>plays</v>
      </c>
      <c r="S3866" s="9">
        <f t="shared" si="444"/>
        <v>42295.683495370373</v>
      </c>
      <c r="T3866" s="9">
        <f t="shared" si="445"/>
        <v>42325.72516203703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42"/>
        <v>0.26937422295897223</v>
      </c>
      <c r="P3867">
        <f t="shared" si="443"/>
        <v>1531.5</v>
      </c>
      <c r="Q3867" t="str">
        <f t="shared" si="440"/>
        <v>theater</v>
      </c>
      <c r="R3867" t="str">
        <f t="shared" si="441"/>
        <v>plays</v>
      </c>
      <c r="S3867" s="9">
        <f t="shared" si="444"/>
        <v>41841.44326388889</v>
      </c>
      <c r="T3867" s="9">
        <f t="shared" si="445"/>
        <v>41881.020833333328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42"/>
        <v>5.4999999999999997E-3</v>
      </c>
      <c r="P3868">
        <f t="shared" si="443"/>
        <v>1005.5</v>
      </c>
      <c r="Q3868" t="str">
        <f t="shared" si="440"/>
        <v>theater</v>
      </c>
      <c r="R3868" t="str">
        <f t="shared" si="441"/>
        <v>plays</v>
      </c>
      <c r="S3868" s="9">
        <f t="shared" si="444"/>
        <v>42402.738668981481</v>
      </c>
      <c r="T3868" s="9">
        <f t="shared" si="445"/>
        <v>42451.936805555553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42"/>
        <v>0.1255</v>
      </c>
      <c r="P3869">
        <f t="shared" si="443"/>
        <v>1125.5</v>
      </c>
      <c r="Q3869" t="str">
        <f t="shared" si="440"/>
        <v>theater</v>
      </c>
      <c r="R3869" t="str">
        <f t="shared" si="441"/>
        <v>plays</v>
      </c>
      <c r="S3869" s="9">
        <f t="shared" si="444"/>
        <v>42509.605775462966</v>
      </c>
      <c r="T3869" s="9">
        <f t="shared" si="445"/>
        <v>42539.605775462966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42"/>
        <v>2E-3</v>
      </c>
      <c r="P3870">
        <f t="shared" si="443"/>
        <v>2505</v>
      </c>
      <c r="Q3870" t="str">
        <f>IF(N3870="theater/musical","theater")</f>
        <v>theater</v>
      </c>
      <c r="R3870" t="str">
        <f>IF(N3870="theater/musical","musical")</f>
        <v>musical</v>
      </c>
      <c r="S3870" s="9">
        <f t="shared" si="444"/>
        <v>41865.45144675926</v>
      </c>
      <c r="T3870" s="9">
        <f t="shared" si="445"/>
        <v>41890.45144675926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42"/>
        <v>3.44748684310884E-2</v>
      </c>
      <c r="P3871">
        <f t="shared" si="443"/>
        <v>6781.5</v>
      </c>
      <c r="Q3871" t="str">
        <f t="shared" ref="Q3871:Q3889" si="446">IF(N3871="theater/musical","theater")</f>
        <v>theater</v>
      </c>
      <c r="R3871" t="str">
        <f t="shared" ref="R3871:R3889" si="447">IF(N3871="theater/musical","musical")</f>
        <v>musical</v>
      </c>
      <c r="S3871" s="9">
        <f t="shared" si="444"/>
        <v>42047.516111111108</v>
      </c>
      <c r="T3871" s="9">
        <f t="shared" si="445"/>
        <v>42076.924305555549</v>
      </c>
    </row>
    <row r="3872" spans="1:20" ht="43.5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42"/>
        <v>0.15</v>
      </c>
      <c r="P3872">
        <f t="shared" si="443"/>
        <v>5750</v>
      </c>
      <c r="Q3872" t="str">
        <f t="shared" si="446"/>
        <v>theater</v>
      </c>
      <c r="R3872" t="str">
        <f t="shared" si="447"/>
        <v>musical</v>
      </c>
      <c r="S3872" s="9">
        <f t="shared" si="444"/>
        <v>41792.963865740741</v>
      </c>
      <c r="T3872" s="9">
        <f t="shared" si="445"/>
        <v>41822.963865740741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42"/>
        <v>2.6666666666666668E-2</v>
      </c>
      <c r="P3873">
        <f t="shared" si="443"/>
        <v>770</v>
      </c>
      <c r="Q3873" t="str">
        <f t="shared" si="446"/>
        <v>theater</v>
      </c>
      <c r="R3873" t="str">
        <f t="shared" si="447"/>
        <v>musical</v>
      </c>
      <c r="S3873" s="9">
        <f t="shared" si="444"/>
        <v>42763.572337962956</v>
      </c>
      <c r="T3873" s="9">
        <f t="shared" si="445"/>
        <v>42823.530671296299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42"/>
        <v>0</v>
      </c>
      <c r="P3874">
        <f t="shared" si="443"/>
        <v>7500</v>
      </c>
      <c r="Q3874" t="str">
        <f t="shared" si="446"/>
        <v>theater</v>
      </c>
      <c r="R3874" t="str">
        <f t="shared" si="447"/>
        <v>musical</v>
      </c>
      <c r="S3874" s="9">
        <f t="shared" si="444"/>
        <v>42179.9374537037</v>
      </c>
      <c r="T3874" s="9">
        <f t="shared" si="445"/>
        <v>42229.9374537037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42"/>
        <v>0</v>
      </c>
      <c r="P3875">
        <f t="shared" si="443"/>
        <v>2750</v>
      </c>
      <c r="Q3875" t="str">
        <f t="shared" si="446"/>
        <v>theater</v>
      </c>
      <c r="R3875" t="str">
        <f t="shared" si="447"/>
        <v>musical</v>
      </c>
      <c r="S3875" s="9">
        <f t="shared" si="444"/>
        <v>42255.487673611111</v>
      </c>
      <c r="T3875" s="9">
        <f t="shared" si="445"/>
        <v>42285.487673611111</v>
      </c>
    </row>
    <row r="3876" spans="1:20" ht="43.5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42"/>
        <v>0</v>
      </c>
      <c r="P3876">
        <f t="shared" si="443"/>
        <v>310</v>
      </c>
      <c r="Q3876" t="str">
        <f t="shared" si="446"/>
        <v>theater</v>
      </c>
      <c r="R3876" t="str">
        <f t="shared" si="447"/>
        <v>musical</v>
      </c>
      <c r="S3876" s="9">
        <f t="shared" si="444"/>
        <v>42006.808124999996</v>
      </c>
      <c r="T3876" s="9">
        <f t="shared" si="445"/>
        <v>42027.833333333336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42"/>
        <v>0</v>
      </c>
      <c r="P3877">
        <f t="shared" si="443"/>
        <v>15000</v>
      </c>
      <c r="Q3877" t="str">
        <f t="shared" si="446"/>
        <v>theater</v>
      </c>
      <c r="R3877" t="str">
        <f t="shared" si="447"/>
        <v>musical</v>
      </c>
      <c r="S3877" s="9">
        <f t="shared" si="444"/>
        <v>42615.138483796291</v>
      </c>
      <c r="T3877" s="9">
        <f t="shared" si="445"/>
        <v>42616.208333333336</v>
      </c>
    </row>
    <row r="3878" spans="1:20" ht="43.5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42"/>
        <v>0.52794871794871789</v>
      </c>
      <c r="P3878">
        <f t="shared" si="443"/>
        <v>2979.5</v>
      </c>
      <c r="Q3878" t="str">
        <f t="shared" si="446"/>
        <v>theater</v>
      </c>
      <c r="R3878" t="str">
        <f t="shared" si="447"/>
        <v>musical</v>
      </c>
      <c r="S3878" s="9">
        <f t="shared" si="444"/>
        <v>42372.415833333333</v>
      </c>
      <c r="T3878" s="9">
        <f t="shared" si="445"/>
        <v>42402.415833333333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42"/>
        <v>4.9639999999999997E-2</v>
      </c>
      <c r="P3879">
        <f t="shared" si="443"/>
        <v>13120.5</v>
      </c>
      <c r="Q3879" t="str">
        <f t="shared" si="446"/>
        <v>theater</v>
      </c>
      <c r="R3879" t="str">
        <f t="shared" si="447"/>
        <v>musical</v>
      </c>
      <c r="S3879" s="9">
        <f t="shared" si="444"/>
        <v>42682.469351851854</v>
      </c>
      <c r="T3879" s="9">
        <f t="shared" si="445"/>
        <v>42712.469351851854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42"/>
        <v>5.5555555555555556E-4</v>
      </c>
      <c r="P3880">
        <f t="shared" si="443"/>
        <v>9005</v>
      </c>
      <c r="Q3880" t="str">
        <f t="shared" si="446"/>
        <v>theater</v>
      </c>
      <c r="R3880" t="str">
        <f t="shared" si="447"/>
        <v>musical</v>
      </c>
      <c r="S3880" s="9">
        <f t="shared" si="444"/>
        <v>42154.610486111109</v>
      </c>
      <c r="T3880" s="9">
        <f t="shared" si="445"/>
        <v>42184.957638888889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42"/>
        <v>0</v>
      </c>
      <c r="P3881">
        <f t="shared" si="443"/>
        <v>7500</v>
      </c>
      <c r="Q3881" t="str">
        <f t="shared" si="446"/>
        <v>theater</v>
      </c>
      <c r="R3881" t="str">
        <f t="shared" si="447"/>
        <v>musical</v>
      </c>
      <c r="S3881" s="9">
        <f t="shared" si="444"/>
        <v>41999.652731481481</v>
      </c>
      <c r="T3881" s="9">
        <f t="shared" si="445"/>
        <v>42029.652731481481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42"/>
        <v>0.13066666666666665</v>
      </c>
      <c r="P3882">
        <f t="shared" si="443"/>
        <v>4240</v>
      </c>
      <c r="Q3882" t="str">
        <f t="shared" si="446"/>
        <v>theater</v>
      </c>
      <c r="R3882" t="str">
        <f t="shared" si="447"/>
        <v>musical</v>
      </c>
      <c r="S3882" s="9">
        <f t="shared" si="444"/>
        <v>41815.606712962959</v>
      </c>
      <c r="T3882" s="9">
        <f t="shared" si="445"/>
        <v>41850.75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42"/>
        <v>0.05</v>
      </c>
      <c r="P3883">
        <f t="shared" si="443"/>
        <v>262.5</v>
      </c>
      <c r="Q3883" t="str">
        <f t="shared" si="446"/>
        <v>theater</v>
      </c>
      <c r="R3883" t="str">
        <f t="shared" si="447"/>
        <v>musical</v>
      </c>
      <c r="S3883" s="9">
        <f t="shared" si="444"/>
        <v>42755.810173611106</v>
      </c>
      <c r="T3883" s="9">
        <f t="shared" si="445"/>
        <v>42785.810173611106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42"/>
        <v>0</v>
      </c>
      <c r="P3884">
        <f t="shared" si="443"/>
        <v>15000</v>
      </c>
      <c r="Q3884" t="str">
        <f t="shared" si="446"/>
        <v>theater</v>
      </c>
      <c r="R3884" t="str">
        <f t="shared" si="447"/>
        <v>musical</v>
      </c>
      <c r="S3884" s="9">
        <f t="shared" si="444"/>
        <v>42373.77511574074</v>
      </c>
      <c r="T3884" s="9">
        <f t="shared" si="445"/>
        <v>42400.752083333333</v>
      </c>
    </row>
    <row r="3885" spans="1:20" ht="43.5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42"/>
        <v>0</v>
      </c>
      <c r="P3885">
        <f t="shared" si="443"/>
        <v>7500</v>
      </c>
      <c r="Q3885" t="str">
        <f t="shared" si="446"/>
        <v>theater</v>
      </c>
      <c r="R3885" t="str">
        <f t="shared" si="447"/>
        <v>musical</v>
      </c>
      <c r="S3885" s="9">
        <f t="shared" si="444"/>
        <v>41854.394317129627</v>
      </c>
      <c r="T3885" s="9">
        <f t="shared" si="445"/>
        <v>41884.394317129627</v>
      </c>
    </row>
    <row r="3886" spans="1:20" ht="29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42"/>
        <v>0</v>
      </c>
      <c r="P3886">
        <f t="shared" si="443"/>
        <v>5000</v>
      </c>
      <c r="Q3886" t="str">
        <f t="shared" si="446"/>
        <v>theater</v>
      </c>
      <c r="R3886" t="str">
        <f t="shared" si="447"/>
        <v>musical</v>
      </c>
      <c r="S3886" s="9">
        <f t="shared" si="444"/>
        <v>42065.583240740736</v>
      </c>
      <c r="T3886" s="9">
        <f t="shared" si="445"/>
        <v>42090.541574074072</v>
      </c>
    </row>
    <row r="3887" spans="1:20" ht="29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42"/>
        <v>0</v>
      </c>
      <c r="P3887">
        <f t="shared" si="443"/>
        <v>187500</v>
      </c>
      <c r="Q3887" t="str">
        <f t="shared" si="446"/>
        <v>theater</v>
      </c>
      <c r="R3887" t="str">
        <f t="shared" si="447"/>
        <v>musical</v>
      </c>
      <c r="S3887" s="9">
        <f t="shared" si="444"/>
        <v>42469.742951388886</v>
      </c>
      <c r="T3887" s="9">
        <f t="shared" si="445"/>
        <v>42499.742951388886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42"/>
        <v>0</v>
      </c>
      <c r="P3888">
        <f t="shared" si="443"/>
        <v>5000</v>
      </c>
      <c r="Q3888" t="str">
        <f t="shared" si="446"/>
        <v>theater</v>
      </c>
      <c r="R3888" t="str">
        <f t="shared" si="447"/>
        <v>musical</v>
      </c>
      <c r="S3888" s="9">
        <f t="shared" si="444"/>
        <v>41954.019699074073</v>
      </c>
      <c r="T3888" s="9">
        <f t="shared" si="445"/>
        <v>41984.019699074073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42"/>
        <v>1.7500000000000002E-2</v>
      </c>
      <c r="P3889">
        <f t="shared" si="443"/>
        <v>1017.5</v>
      </c>
      <c r="Q3889" t="str">
        <f t="shared" si="446"/>
        <v>theater</v>
      </c>
      <c r="R3889" t="str">
        <f t="shared" si="447"/>
        <v>musical</v>
      </c>
      <c r="S3889" s="9">
        <f t="shared" si="444"/>
        <v>42079.649641203701</v>
      </c>
      <c r="T3889" s="9">
        <f t="shared" si="445"/>
        <v>42125.708333333336</v>
      </c>
    </row>
    <row r="3890" spans="1:20" ht="43.5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42"/>
        <v>0.27100000000000002</v>
      </c>
      <c r="P3890">
        <f t="shared" si="443"/>
        <v>1271</v>
      </c>
      <c r="Q3890" t="str">
        <f>IF(N3890="theater/plays","theater")</f>
        <v>theater</v>
      </c>
      <c r="R3890" t="str">
        <f>IF(N3890="theater/plays","plays")</f>
        <v>plays</v>
      </c>
      <c r="S3890" s="9">
        <f t="shared" si="444"/>
        <v>42762.337476851848</v>
      </c>
      <c r="T3890" s="9">
        <f t="shared" si="445"/>
        <v>42792.337476851848</v>
      </c>
    </row>
    <row r="3891" spans="1:20" ht="29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42"/>
        <v>1.4749999999999999E-2</v>
      </c>
      <c r="P3891">
        <f t="shared" si="443"/>
        <v>4059</v>
      </c>
      <c r="Q3891" t="str">
        <f t="shared" ref="Q3891:Q3954" si="448">IF(N3891="theater/plays","theater")</f>
        <v>theater</v>
      </c>
      <c r="R3891" t="str">
        <f t="shared" ref="R3891:R3954" si="449">IF(N3891="theater/plays","plays")</f>
        <v>plays</v>
      </c>
      <c r="S3891" s="9">
        <f t="shared" si="444"/>
        <v>41976.796643518515</v>
      </c>
      <c r="T3891" s="9">
        <f t="shared" si="445"/>
        <v>42008.768055555549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42"/>
        <v>0.16826666666666668</v>
      </c>
      <c r="P3892">
        <f t="shared" si="443"/>
        <v>8762</v>
      </c>
      <c r="Q3892" t="str">
        <f t="shared" si="448"/>
        <v>theater</v>
      </c>
      <c r="R3892" t="str">
        <f t="shared" si="449"/>
        <v>plays</v>
      </c>
      <c r="S3892" s="9">
        <f t="shared" si="444"/>
        <v>42171.55027777778</v>
      </c>
      <c r="T3892" s="9">
        <f t="shared" si="445"/>
        <v>42231.55027777778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42"/>
        <v>0.32500000000000001</v>
      </c>
      <c r="P3893">
        <f t="shared" si="443"/>
        <v>530</v>
      </c>
      <c r="Q3893" t="str">
        <f t="shared" si="448"/>
        <v>theater</v>
      </c>
      <c r="R3893" t="str">
        <f t="shared" si="449"/>
        <v>plays</v>
      </c>
      <c r="S3893" s="9">
        <f t="shared" si="444"/>
        <v>42055.924120370364</v>
      </c>
      <c r="T3893" s="9">
        <f t="shared" si="445"/>
        <v>42085.999305555553</v>
      </c>
    </row>
    <row r="3894" spans="1:20" ht="43.5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42"/>
        <v>0</v>
      </c>
      <c r="P3894">
        <f t="shared" si="443"/>
        <v>500</v>
      </c>
      <c r="Q3894" t="str">
        <f t="shared" si="448"/>
        <v>theater</v>
      </c>
      <c r="R3894" t="str">
        <f t="shared" si="449"/>
        <v>plays</v>
      </c>
      <c r="S3894" s="9">
        <f t="shared" si="444"/>
        <v>41867.443946759253</v>
      </c>
      <c r="T3894" s="9">
        <f t="shared" si="445"/>
        <v>41875.083333333328</v>
      </c>
    </row>
    <row r="3895" spans="1:20" ht="43.5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42"/>
        <v>0.2155</v>
      </c>
      <c r="P3895">
        <f t="shared" si="443"/>
        <v>30387.5</v>
      </c>
      <c r="Q3895" t="str">
        <f t="shared" si="448"/>
        <v>theater</v>
      </c>
      <c r="R3895" t="str">
        <f t="shared" si="449"/>
        <v>plays</v>
      </c>
      <c r="S3895" s="9">
        <f t="shared" si="444"/>
        <v>41779.449537037035</v>
      </c>
      <c r="T3895" s="9">
        <f t="shared" si="445"/>
        <v>41821.041666666664</v>
      </c>
    </row>
    <row r="3896" spans="1:20" ht="43.5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42"/>
        <v>3.4666666666666665E-2</v>
      </c>
      <c r="P3896">
        <f t="shared" si="443"/>
        <v>7760</v>
      </c>
      <c r="Q3896" t="str">
        <f t="shared" si="448"/>
        <v>theater</v>
      </c>
      <c r="R3896" t="str">
        <f t="shared" si="449"/>
        <v>plays</v>
      </c>
      <c r="S3896" s="9">
        <f t="shared" si="444"/>
        <v>42679.750138888885</v>
      </c>
      <c r="T3896" s="9">
        <f t="shared" si="445"/>
        <v>42709.999305555553</v>
      </c>
    </row>
    <row r="3897" spans="1:20" ht="43.5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42"/>
        <v>0.05</v>
      </c>
      <c r="P3897">
        <f t="shared" si="443"/>
        <v>525</v>
      </c>
      <c r="Q3897" t="str">
        <f t="shared" si="448"/>
        <v>theater</v>
      </c>
      <c r="R3897" t="str">
        <f t="shared" si="449"/>
        <v>plays</v>
      </c>
      <c r="S3897" s="9">
        <f t="shared" si="444"/>
        <v>42032.041875000003</v>
      </c>
      <c r="T3897" s="9">
        <f t="shared" si="445"/>
        <v>42063.041875000003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42"/>
        <v>0.10625</v>
      </c>
      <c r="P3898">
        <f t="shared" si="443"/>
        <v>885</v>
      </c>
      <c r="Q3898" t="str">
        <f t="shared" si="448"/>
        <v>theater</v>
      </c>
      <c r="R3898" t="str">
        <f t="shared" si="449"/>
        <v>plays</v>
      </c>
      <c r="S3898" s="9">
        <f t="shared" si="444"/>
        <v>41792.983541666668</v>
      </c>
      <c r="T3898" s="9">
        <f t="shared" si="445"/>
        <v>41806.983541666668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42"/>
        <v>0.17599999999999999</v>
      </c>
      <c r="P3899">
        <f t="shared" si="443"/>
        <v>1470</v>
      </c>
      <c r="Q3899" t="str">
        <f t="shared" si="448"/>
        <v>theater</v>
      </c>
      <c r="R3899" t="str">
        <f t="shared" si="449"/>
        <v>plays</v>
      </c>
      <c r="S3899" s="9">
        <f t="shared" si="444"/>
        <v>41982.665312499994</v>
      </c>
      <c r="T3899" s="9">
        <f t="shared" si="445"/>
        <v>42012.665312499994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42"/>
        <v>0.3256</v>
      </c>
      <c r="P3900">
        <f t="shared" si="443"/>
        <v>1657</v>
      </c>
      <c r="Q3900" t="str">
        <f t="shared" si="448"/>
        <v>theater</v>
      </c>
      <c r="R3900" t="str">
        <f t="shared" si="449"/>
        <v>plays</v>
      </c>
      <c r="S3900" s="9">
        <f t="shared" si="444"/>
        <v>42193.273958333331</v>
      </c>
      <c r="T3900" s="9">
        <f t="shared" si="445"/>
        <v>42233.458333333336</v>
      </c>
    </row>
    <row r="3901" spans="1:20" ht="29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42"/>
        <v>1.2500000000000001E-2</v>
      </c>
      <c r="P3901">
        <f t="shared" si="443"/>
        <v>5062.5</v>
      </c>
      <c r="Q3901" t="str">
        <f t="shared" si="448"/>
        <v>theater</v>
      </c>
      <c r="R3901" t="str">
        <f t="shared" si="449"/>
        <v>plays</v>
      </c>
      <c r="S3901" s="9">
        <f t="shared" si="444"/>
        <v>41843.566678240742</v>
      </c>
      <c r="T3901" s="9">
        <f t="shared" si="445"/>
        <v>41863.566678240742</v>
      </c>
    </row>
    <row r="3902" spans="1:20" ht="29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42"/>
        <v>5.3999999999999999E-2</v>
      </c>
      <c r="P3902">
        <f t="shared" si="443"/>
        <v>1317.5</v>
      </c>
      <c r="Q3902" t="str">
        <f t="shared" si="448"/>
        <v>theater</v>
      </c>
      <c r="R3902" t="str">
        <f t="shared" si="449"/>
        <v>plays</v>
      </c>
      <c r="S3902" s="9">
        <f t="shared" si="444"/>
        <v>42135.884155092594</v>
      </c>
      <c r="T3902" s="9">
        <f t="shared" si="445"/>
        <v>42165.884155092594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42"/>
        <v>8.3333333333333332E-3</v>
      </c>
      <c r="P3903">
        <f t="shared" si="443"/>
        <v>1512.5</v>
      </c>
      <c r="Q3903" t="str">
        <f t="shared" si="448"/>
        <v>theater</v>
      </c>
      <c r="R3903" t="str">
        <f t="shared" si="449"/>
        <v>plays</v>
      </c>
      <c r="S3903" s="9">
        <f t="shared" si="444"/>
        <v>42317.618043981478</v>
      </c>
      <c r="T3903" s="9">
        <f t="shared" si="445"/>
        <v>42357.618043981478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42"/>
        <v>0.48833333333333334</v>
      </c>
      <c r="P3904">
        <f t="shared" si="443"/>
        <v>2232.5</v>
      </c>
      <c r="Q3904" t="str">
        <f t="shared" si="448"/>
        <v>theater</v>
      </c>
      <c r="R3904" t="str">
        <f t="shared" si="449"/>
        <v>plays</v>
      </c>
      <c r="S3904" s="9">
        <f t="shared" si="444"/>
        <v>42663.259745370371</v>
      </c>
      <c r="T3904" s="9">
        <f t="shared" si="445"/>
        <v>42688.301412037035</v>
      </c>
    </row>
    <row r="3905" spans="1:20" ht="43.5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42"/>
        <v>0</v>
      </c>
      <c r="P3905">
        <f t="shared" si="443"/>
        <v>750</v>
      </c>
      <c r="Q3905" t="str">
        <f t="shared" si="448"/>
        <v>theater</v>
      </c>
      <c r="R3905" t="str">
        <f t="shared" si="449"/>
        <v>plays</v>
      </c>
      <c r="S3905" s="9">
        <f t="shared" si="444"/>
        <v>42185.802835648145</v>
      </c>
      <c r="T3905" s="9">
        <f t="shared" si="445"/>
        <v>42230.609722222223</v>
      </c>
    </row>
    <row r="3906" spans="1:20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42"/>
        <v>2.9999999999999997E-4</v>
      </c>
      <c r="P3906">
        <f t="shared" si="443"/>
        <v>5001.5</v>
      </c>
      <c r="Q3906" t="str">
        <f t="shared" si="448"/>
        <v>theater</v>
      </c>
      <c r="R3906" t="str">
        <f t="shared" si="449"/>
        <v>plays</v>
      </c>
      <c r="S3906" s="9">
        <f t="shared" si="444"/>
        <v>42095.020833333336</v>
      </c>
      <c r="T3906" s="9">
        <f t="shared" si="445"/>
        <v>42109.00277777778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450">E3907/D3907</f>
        <v>0.11533333333333333</v>
      </c>
      <c r="P3907">
        <f t="shared" ref="P3907:P3970" si="451">AVERAGE(D3907:E3907)</f>
        <v>836.5</v>
      </c>
      <c r="Q3907" t="str">
        <f t="shared" si="448"/>
        <v>theater</v>
      </c>
      <c r="R3907" t="str">
        <f t="shared" si="449"/>
        <v>plays</v>
      </c>
      <c r="S3907" s="9">
        <f t="shared" ref="S3907:S3970" si="452">J3907/86400+25569+(-5/24)</f>
        <v>42124.415543981479</v>
      </c>
      <c r="T3907" s="9">
        <f t="shared" si="445"/>
        <v>42166.749999999993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50"/>
        <v>0.67333333333333334</v>
      </c>
      <c r="P3908">
        <f t="shared" si="451"/>
        <v>1255</v>
      </c>
      <c r="Q3908" t="str">
        <f t="shared" si="448"/>
        <v>theater</v>
      </c>
      <c r="R3908" t="str">
        <f t="shared" si="449"/>
        <v>plays</v>
      </c>
      <c r="S3908" s="9">
        <f t="shared" si="452"/>
        <v>42143.709409722222</v>
      </c>
      <c r="T3908" s="9">
        <f t="shared" ref="T3908:T3971" si="453">I3908/86400+25569+(-5/24)</f>
        <v>42181.350694444445</v>
      </c>
    </row>
    <row r="3909" spans="1:20" ht="29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50"/>
        <v>0.153</v>
      </c>
      <c r="P3909">
        <f t="shared" si="451"/>
        <v>576.5</v>
      </c>
      <c r="Q3909" t="str">
        <f t="shared" si="448"/>
        <v>theater</v>
      </c>
      <c r="R3909" t="str">
        <f t="shared" si="449"/>
        <v>plays</v>
      </c>
      <c r="S3909" s="9">
        <f t="shared" si="452"/>
        <v>41906.611180555556</v>
      </c>
      <c r="T3909" s="9">
        <f t="shared" si="453"/>
        <v>41938.630555555552</v>
      </c>
    </row>
    <row r="3910" spans="1:20" ht="43.5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50"/>
        <v>8.666666666666667E-2</v>
      </c>
      <c r="P3910">
        <f t="shared" si="451"/>
        <v>407.5</v>
      </c>
      <c r="Q3910" t="str">
        <f t="shared" si="448"/>
        <v>theater</v>
      </c>
      <c r="R3910" t="str">
        <f t="shared" si="449"/>
        <v>plays</v>
      </c>
      <c r="S3910" s="9">
        <f t="shared" si="452"/>
        <v>41833.927037037036</v>
      </c>
      <c r="T3910" s="9">
        <f t="shared" si="453"/>
        <v>41848.927037037036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50"/>
        <v>2.2499999999999998E-3</v>
      </c>
      <c r="P3911">
        <f t="shared" si="451"/>
        <v>30067.5</v>
      </c>
      <c r="Q3911" t="str">
        <f t="shared" si="448"/>
        <v>theater</v>
      </c>
      <c r="R3911" t="str">
        <f t="shared" si="449"/>
        <v>plays</v>
      </c>
      <c r="S3911" s="9">
        <f t="shared" si="452"/>
        <v>41863.150949074072</v>
      </c>
      <c r="T3911" s="9">
        <f t="shared" si="453"/>
        <v>41893.150949074072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50"/>
        <v>3.0833333333333334E-2</v>
      </c>
      <c r="P3912">
        <f t="shared" si="451"/>
        <v>3092.5</v>
      </c>
      <c r="Q3912" t="str">
        <f t="shared" si="448"/>
        <v>theater</v>
      </c>
      <c r="R3912" t="str">
        <f t="shared" si="449"/>
        <v>plays</v>
      </c>
      <c r="S3912" s="9">
        <f t="shared" si="452"/>
        <v>42224.548576388886</v>
      </c>
      <c r="T3912" s="9">
        <f t="shared" si="453"/>
        <v>42254.548576388886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50"/>
        <v>0.37412499999999999</v>
      </c>
      <c r="P3913">
        <f t="shared" si="451"/>
        <v>5496.5</v>
      </c>
      <c r="Q3913" t="str">
        <f t="shared" si="448"/>
        <v>theater</v>
      </c>
      <c r="R3913" t="str">
        <f t="shared" si="449"/>
        <v>plays</v>
      </c>
      <c r="S3913" s="9">
        <f t="shared" si="452"/>
        <v>41939.603900462964</v>
      </c>
      <c r="T3913" s="9">
        <f t="shared" si="453"/>
        <v>41969.645567129628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50"/>
        <v>6.666666666666667E-5</v>
      </c>
      <c r="P3914">
        <f t="shared" si="451"/>
        <v>7500.5</v>
      </c>
      <c r="Q3914" t="str">
        <f t="shared" si="448"/>
        <v>theater</v>
      </c>
      <c r="R3914" t="str">
        <f t="shared" si="449"/>
        <v>plays</v>
      </c>
      <c r="S3914" s="9">
        <f t="shared" si="452"/>
        <v>42059.061689814807</v>
      </c>
      <c r="T3914" s="9">
        <f t="shared" si="453"/>
        <v>42118.982638888883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50"/>
        <v>0.1</v>
      </c>
      <c r="P3915">
        <f t="shared" si="451"/>
        <v>5500</v>
      </c>
      <c r="Q3915" t="str">
        <f t="shared" si="448"/>
        <v>theater</v>
      </c>
      <c r="R3915" t="str">
        <f t="shared" si="449"/>
        <v>plays</v>
      </c>
      <c r="S3915" s="9">
        <f t="shared" si="452"/>
        <v>42308.002881944441</v>
      </c>
      <c r="T3915" s="9">
        <f t="shared" si="453"/>
        <v>42338.044548611106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50"/>
        <v>0.36359999999999998</v>
      </c>
      <c r="P3916">
        <f t="shared" si="451"/>
        <v>1704.5</v>
      </c>
      <c r="Q3916" t="str">
        <f t="shared" si="448"/>
        <v>theater</v>
      </c>
      <c r="R3916" t="str">
        <f t="shared" si="449"/>
        <v>plays</v>
      </c>
      <c r="S3916" s="9">
        <f t="shared" si="452"/>
        <v>42114.610601851855</v>
      </c>
      <c r="T3916" s="9">
        <f t="shared" si="453"/>
        <v>42134.749305555553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50"/>
        <v>3.3333333333333335E-3</v>
      </c>
      <c r="P3917">
        <f t="shared" si="451"/>
        <v>752.5</v>
      </c>
      <c r="Q3917" t="str">
        <f t="shared" si="448"/>
        <v>theater</v>
      </c>
      <c r="R3917" t="str">
        <f t="shared" si="449"/>
        <v>plays</v>
      </c>
      <c r="S3917" s="9">
        <f t="shared" si="452"/>
        <v>42492.776724537034</v>
      </c>
      <c r="T3917" s="9">
        <f t="shared" si="453"/>
        <v>42522.776724537034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50"/>
        <v>0</v>
      </c>
      <c r="P3918">
        <f t="shared" si="451"/>
        <v>1000</v>
      </c>
      <c r="Q3918" t="str">
        <f t="shared" si="448"/>
        <v>theater</v>
      </c>
      <c r="R3918" t="str">
        <f t="shared" si="449"/>
        <v>plays</v>
      </c>
      <c r="S3918" s="9">
        <f t="shared" si="452"/>
        <v>42494.263333333329</v>
      </c>
      <c r="T3918" s="9">
        <f t="shared" si="453"/>
        <v>42524.263333333329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50"/>
        <v>2.8571428571428571E-3</v>
      </c>
      <c r="P3919">
        <f t="shared" si="451"/>
        <v>1755</v>
      </c>
      <c r="Q3919" t="str">
        <f t="shared" si="448"/>
        <v>theater</v>
      </c>
      <c r="R3919" t="str">
        <f t="shared" si="449"/>
        <v>plays</v>
      </c>
      <c r="S3919" s="9">
        <f t="shared" si="452"/>
        <v>41863.318993055553</v>
      </c>
      <c r="T3919" s="9">
        <f t="shared" si="453"/>
        <v>41893.318993055553</v>
      </c>
    </row>
    <row r="3920" spans="1:20" ht="43.5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50"/>
        <v>2E-3</v>
      </c>
      <c r="P3920">
        <f t="shared" si="451"/>
        <v>30060</v>
      </c>
      <c r="Q3920" t="str">
        <f t="shared" si="448"/>
        <v>theater</v>
      </c>
      <c r="R3920" t="str">
        <f t="shared" si="449"/>
        <v>plays</v>
      </c>
      <c r="S3920" s="9">
        <f t="shared" si="452"/>
        <v>41843.456284722219</v>
      </c>
      <c r="T3920" s="9">
        <f t="shared" si="453"/>
        <v>41855.458333333328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50"/>
        <v>1.7999999999999999E-2</v>
      </c>
      <c r="P3921">
        <f t="shared" si="451"/>
        <v>2545</v>
      </c>
      <c r="Q3921" t="str">
        <f t="shared" si="448"/>
        <v>theater</v>
      </c>
      <c r="R3921" t="str">
        <f t="shared" si="449"/>
        <v>plays</v>
      </c>
      <c r="S3921" s="9">
        <f t="shared" si="452"/>
        <v>42358.476539351854</v>
      </c>
      <c r="T3921" s="9">
        <f t="shared" si="453"/>
        <v>42386.791666666664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50"/>
        <v>5.3999999999999999E-2</v>
      </c>
      <c r="P3922">
        <f t="shared" si="451"/>
        <v>1317.5</v>
      </c>
      <c r="Q3922" t="str">
        <f t="shared" si="448"/>
        <v>theater</v>
      </c>
      <c r="R3922" t="str">
        <f t="shared" si="449"/>
        <v>plays</v>
      </c>
      <c r="S3922" s="9">
        <f t="shared" si="452"/>
        <v>42657.178935185184</v>
      </c>
      <c r="T3922" s="9">
        <f t="shared" si="453"/>
        <v>42687.220601851848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50"/>
        <v>0</v>
      </c>
      <c r="P3923">
        <f t="shared" si="451"/>
        <v>1500</v>
      </c>
      <c r="Q3923" t="str">
        <f t="shared" si="448"/>
        <v>theater</v>
      </c>
      <c r="R3923" t="str">
        <f t="shared" si="449"/>
        <v>plays</v>
      </c>
      <c r="S3923" s="9">
        <f t="shared" si="452"/>
        <v>41926.333969907406</v>
      </c>
      <c r="T3923" s="9">
        <f t="shared" si="453"/>
        <v>41938.541666666664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50"/>
        <v>8.1333333333333327E-2</v>
      </c>
      <c r="P3924">
        <f t="shared" si="451"/>
        <v>405.5</v>
      </c>
      <c r="Q3924" t="str">
        <f t="shared" si="448"/>
        <v>theater</v>
      </c>
      <c r="R3924" t="str">
        <f t="shared" si="449"/>
        <v>plays</v>
      </c>
      <c r="S3924" s="9">
        <f t="shared" si="452"/>
        <v>42020.560300925928</v>
      </c>
      <c r="T3924" s="9">
        <f t="shared" si="453"/>
        <v>42065.749999999993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50"/>
        <v>0.12034782608695652</v>
      </c>
      <c r="P3925">
        <f t="shared" si="451"/>
        <v>6442</v>
      </c>
      <c r="Q3925" t="str">
        <f t="shared" si="448"/>
        <v>theater</v>
      </c>
      <c r="R3925" t="str">
        <f t="shared" si="449"/>
        <v>plays</v>
      </c>
      <c r="S3925" s="9">
        <f t="shared" si="452"/>
        <v>42075.771655092591</v>
      </c>
      <c r="T3925" s="9">
        <f t="shared" si="453"/>
        <v>42103.771655092591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50"/>
        <v>0.15266666666666667</v>
      </c>
      <c r="P3926">
        <f t="shared" si="451"/>
        <v>8645</v>
      </c>
      <c r="Q3926" t="str">
        <f t="shared" si="448"/>
        <v>theater</v>
      </c>
      <c r="R3926" t="str">
        <f t="shared" si="449"/>
        <v>plays</v>
      </c>
      <c r="S3926" s="9">
        <f t="shared" si="452"/>
        <v>41786.751412037032</v>
      </c>
      <c r="T3926" s="9">
        <f t="shared" si="453"/>
        <v>41816.751412037032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50"/>
        <v>0.1</v>
      </c>
      <c r="P3927">
        <f t="shared" si="451"/>
        <v>82.5</v>
      </c>
      <c r="Q3927" t="str">
        <f t="shared" si="448"/>
        <v>theater</v>
      </c>
      <c r="R3927" t="str">
        <f t="shared" si="449"/>
        <v>plays</v>
      </c>
      <c r="S3927" s="9">
        <f t="shared" si="452"/>
        <v>41820.662488425922</v>
      </c>
      <c r="T3927" s="9">
        <f t="shared" si="453"/>
        <v>41850.662488425922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50"/>
        <v>3.0000000000000001E-3</v>
      </c>
      <c r="P3928">
        <f t="shared" si="451"/>
        <v>2507.5</v>
      </c>
      <c r="Q3928" t="str">
        <f t="shared" si="448"/>
        <v>theater</v>
      </c>
      <c r="R3928" t="str">
        <f t="shared" si="449"/>
        <v>plays</v>
      </c>
      <c r="S3928" s="9">
        <f t="shared" si="452"/>
        <v>41969.876712962963</v>
      </c>
      <c r="T3928" s="9">
        <f t="shared" si="453"/>
        <v>41999.876712962963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50"/>
        <v>0.01</v>
      </c>
      <c r="P3929">
        <f t="shared" si="451"/>
        <v>1262.5</v>
      </c>
      <c r="Q3929" t="str">
        <f t="shared" si="448"/>
        <v>theater</v>
      </c>
      <c r="R3929" t="str">
        <f t="shared" si="449"/>
        <v>plays</v>
      </c>
      <c r="S3929" s="9">
        <f t="shared" si="452"/>
        <v>41830.059074074074</v>
      </c>
      <c r="T3929" s="9">
        <f t="shared" si="453"/>
        <v>41860.059074074074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50"/>
        <v>0.13020000000000001</v>
      </c>
      <c r="P3930">
        <f t="shared" si="451"/>
        <v>2825.5</v>
      </c>
      <c r="Q3930" t="str">
        <f t="shared" si="448"/>
        <v>theater</v>
      </c>
      <c r="R3930" t="str">
        <f t="shared" si="449"/>
        <v>plays</v>
      </c>
      <c r="S3930" s="9">
        <f t="shared" si="452"/>
        <v>42265.474849537037</v>
      </c>
      <c r="T3930" s="9">
        <f t="shared" si="453"/>
        <v>42292.999305555553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50"/>
        <v>2.265E-2</v>
      </c>
      <c r="P3931">
        <f t="shared" si="451"/>
        <v>10226.5</v>
      </c>
      <c r="Q3931" t="str">
        <f t="shared" si="448"/>
        <v>theater</v>
      </c>
      <c r="R3931" t="str">
        <f t="shared" si="449"/>
        <v>plays</v>
      </c>
      <c r="S3931" s="9">
        <f t="shared" si="452"/>
        <v>42601.618807870364</v>
      </c>
      <c r="T3931" s="9">
        <f t="shared" si="453"/>
        <v>42631.618807870364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50"/>
        <v>0</v>
      </c>
      <c r="P3932">
        <f t="shared" si="451"/>
        <v>5000</v>
      </c>
      <c r="Q3932" t="str">
        <f t="shared" si="448"/>
        <v>theater</v>
      </c>
      <c r="R3932" t="str">
        <f t="shared" si="449"/>
        <v>plays</v>
      </c>
      <c r="S3932" s="9">
        <f t="shared" si="452"/>
        <v>42433.13041666666</v>
      </c>
      <c r="T3932" s="9">
        <f t="shared" si="453"/>
        <v>42461.041666666664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50"/>
        <v>0</v>
      </c>
      <c r="P3933">
        <f t="shared" si="451"/>
        <v>4000</v>
      </c>
      <c r="Q3933" t="str">
        <f t="shared" si="448"/>
        <v>theater</v>
      </c>
      <c r="R3933" t="str">
        <f t="shared" si="449"/>
        <v>plays</v>
      </c>
      <c r="S3933" s="9">
        <f t="shared" si="452"/>
        <v>42227.943368055552</v>
      </c>
      <c r="T3933" s="9">
        <f t="shared" si="453"/>
        <v>42252.943368055552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50"/>
        <v>8.3333333333333331E-5</v>
      </c>
      <c r="P3934">
        <f t="shared" si="451"/>
        <v>6000.5</v>
      </c>
      <c r="Q3934" t="str">
        <f t="shared" si="448"/>
        <v>theater</v>
      </c>
      <c r="R3934" t="str">
        <f t="shared" si="449"/>
        <v>plays</v>
      </c>
      <c r="S3934" s="9">
        <f t="shared" si="452"/>
        <v>42414.960231481477</v>
      </c>
      <c r="T3934" s="9">
        <f t="shared" si="453"/>
        <v>42444.918564814812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50"/>
        <v>0.15742857142857142</v>
      </c>
      <c r="P3935">
        <f t="shared" si="451"/>
        <v>4051</v>
      </c>
      <c r="Q3935" t="str">
        <f t="shared" si="448"/>
        <v>theater</v>
      </c>
      <c r="R3935" t="str">
        <f t="shared" si="449"/>
        <v>plays</v>
      </c>
      <c r="S3935" s="9">
        <f t="shared" si="452"/>
        <v>42538.759976851848</v>
      </c>
      <c r="T3935" s="9">
        <f t="shared" si="453"/>
        <v>42567.821527777771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50"/>
        <v>0.11</v>
      </c>
      <c r="P3936">
        <f t="shared" si="451"/>
        <v>2775</v>
      </c>
      <c r="Q3936" t="str">
        <f t="shared" si="448"/>
        <v>theater</v>
      </c>
      <c r="R3936" t="str">
        <f t="shared" si="449"/>
        <v>plays</v>
      </c>
      <c r="S3936" s="9">
        <f t="shared" si="452"/>
        <v>42233.463414351849</v>
      </c>
      <c r="T3936" s="9">
        <f t="shared" si="453"/>
        <v>42278.333333333336</v>
      </c>
    </row>
    <row r="3937" spans="1:20" ht="43.5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50"/>
        <v>0.43833333333333335</v>
      </c>
      <c r="P3937">
        <f t="shared" si="451"/>
        <v>2157.5</v>
      </c>
      <c r="Q3937" t="str">
        <f t="shared" si="448"/>
        <v>theater</v>
      </c>
      <c r="R3937" t="str">
        <f t="shared" si="449"/>
        <v>plays</v>
      </c>
      <c r="S3937" s="9">
        <f t="shared" si="452"/>
        <v>42221.448449074072</v>
      </c>
      <c r="T3937" s="9">
        <f t="shared" si="453"/>
        <v>42281.448449074072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50"/>
        <v>0</v>
      </c>
      <c r="P3938">
        <f t="shared" si="451"/>
        <v>10000</v>
      </c>
      <c r="Q3938" t="str">
        <f t="shared" si="448"/>
        <v>theater</v>
      </c>
      <c r="R3938" t="str">
        <f t="shared" si="449"/>
        <v>plays</v>
      </c>
      <c r="S3938" s="9">
        <f t="shared" si="452"/>
        <v>42675.054629629631</v>
      </c>
      <c r="T3938" s="9">
        <f t="shared" si="453"/>
        <v>42705.096296296295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50"/>
        <v>0.86135181975736563</v>
      </c>
      <c r="P3939">
        <f t="shared" si="451"/>
        <v>2685</v>
      </c>
      <c r="Q3939" t="str">
        <f t="shared" si="448"/>
        <v>theater</v>
      </c>
      <c r="R3939" t="str">
        <f t="shared" si="449"/>
        <v>plays</v>
      </c>
      <c r="S3939" s="9">
        <f t="shared" si="452"/>
        <v>42534.423148148147</v>
      </c>
      <c r="T3939" s="9">
        <f t="shared" si="453"/>
        <v>42562.423148148147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50"/>
        <v>0.12196620583717357</v>
      </c>
      <c r="P3940">
        <f t="shared" si="451"/>
        <v>1826</v>
      </c>
      <c r="Q3940" t="str">
        <f t="shared" si="448"/>
        <v>theater</v>
      </c>
      <c r="R3940" t="str">
        <f t="shared" si="449"/>
        <v>plays</v>
      </c>
      <c r="S3940" s="9">
        <f t="shared" si="452"/>
        <v>42151.697384259256</v>
      </c>
      <c r="T3940" s="9">
        <f t="shared" si="453"/>
        <v>42182.697384259256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50"/>
        <v>1E-3</v>
      </c>
      <c r="P3941">
        <f t="shared" si="451"/>
        <v>2502.5</v>
      </c>
      <c r="Q3941" t="str">
        <f t="shared" si="448"/>
        <v>theater</v>
      </c>
      <c r="R3941" t="str">
        <f t="shared" si="449"/>
        <v>plays</v>
      </c>
      <c r="S3941" s="9">
        <f t="shared" si="452"/>
        <v>41915.191886574074</v>
      </c>
      <c r="T3941" s="9">
        <f t="shared" si="453"/>
        <v>41918.979166666664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50"/>
        <v>2.2000000000000001E-3</v>
      </c>
      <c r="P3942">
        <f t="shared" si="451"/>
        <v>2505.5</v>
      </c>
      <c r="Q3942" t="str">
        <f t="shared" si="448"/>
        <v>theater</v>
      </c>
      <c r="R3942" t="str">
        <f t="shared" si="449"/>
        <v>plays</v>
      </c>
      <c r="S3942" s="9">
        <f t="shared" si="452"/>
        <v>41961.284155092588</v>
      </c>
      <c r="T3942" s="9">
        <f t="shared" si="453"/>
        <v>42006.284155092588</v>
      </c>
    </row>
    <row r="3943" spans="1:20" ht="43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50"/>
        <v>9.0909090909090905E-3</v>
      </c>
      <c r="P3943">
        <f t="shared" si="451"/>
        <v>2775</v>
      </c>
      <c r="Q3943" t="str">
        <f t="shared" si="448"/>
        <v>theater</v>
      </c>
      <c r="R3943" t="str">
        <f t="shared" si="449"/>
        <v>plays</v>
      </c>
      <c r="S3943" s="9">
        <f t="shared" si="452"/>
        <v>41940.378900462958</v>
      </c>
      <c r="T3943" s="9">
        <f t="shared" si="453"/>
        <v>41967.833333333336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50"/>
        <v>0</v>
      </c>
      <c r="P3944">
        <f t="shared" si="451"/>
        <v>600</v>
      </c>
      <c r="Q3944" t="str">
        <f t="shared" si="448"/>
        <v>theater</v>
      </c>
      <c r="R3944" t="str">
        <f t="shared" si="449"/>
        <v>plays</v>
      </c>
      <c r="S3944" s="9">
        <f t="shared" si="452"/>
        <v>42111.695763888885</v>
      </c>
      <c r="T3944" s="9">
        <f t="shared" si="453"/>
        <v>42171.695763888885</v>
      </c>
    </row>
    <row r="3945" spans="1:20" ht="29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50"/>
        <v>0.35639999999999999</v>
      </c>
      <c r="P3945">
        <f t="shared" si="451"/>
        <v>3391</v>
      </c>
      <c r="Q3945" t="str">
        <f t="shared" si="448"/>
        <v>theater</v>
      </c>
      <c r="R3945" t="str">
        <f t="shared" si="449"/>
        <v>plays</v>
      </c>
      <c r="S3945" s="9">
        <f t="shared" si="452"/>
        <v>42279.570231481477</v>
      </c>
      <c r="T3945" s="9">
        <f t="shared" si="453"/>
        <v>42310.493055555555</v>
      </c>
    </row>
    <row r="3946" spans="1:20" ht="43.5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50"/>
        <v>0</v>
      </c>
      <c r="P3946">
        <f t="shared" si="451"/>
        <v>2500</v>
      </c>
      <c r="Q3946" t="str">
        <f t="shared" si="448"/>
        <v>theater</v>
      </c>
      <c r="R3946" t="str">
        <f t="shared" si="449"/>
        <v>plays</v>
      </c>
      <c r="S3946" s="9">
        <f t="shared" si="452"/>
        <v>42213.454571759255</v>
      </c>
      <c r="T3946" s="9">
        <f t="shared" si="453"/>
        <v>42243.454571759255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50"/>
        <v>2.5000000000000001E-3</v>
      </c>
      <c r="P3947">
        <f t="shared" si="451"/>
        <v>1002.5</v>
      </c>
      <c r="Q3947" t="str">
        <f t="shared" si="448"/>
        <v>theater</v>
      </c>
      <c r="R3947" t="str">
        <f t="shared" si="449"/>
        <v>plays</v>
      </c>
      <c r="S3947" s="9">
        <f t="shared" si="452"/>
        <v>42109.593379629623</v>
      </c>
      <c r="T3947" s="9">
        <f t="shared" si="453"/>
        <v>42139.593379629623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50"/>
        <v>3.2500000000000001E-2</v>
      </c>
      <c r="P3948">
        <f t="shared" si="451"/>
        <v>3097.5</v>
      </c>
      <c r="Q3948" t="str">
        <f t="shared" si="448"/>
        <v>theater</v>
      </c>
      <c r="R3948" t="str">
        <f t="shared" si="449"/>
        <v>plays</v>
      </c>
      <c r="S3948" s="9">
        <f t="shared" si="452"/>
        <v>42031.625254629624</v>
      </c>
      <c r="T3948" s="9">
        <f t="shared" si="453"/>
        <v>42063.124999999993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50"/>
        <v>3.3666666666666664E-2</v>
      </c>
      <c r="P3949">
        <f t="shared" si="451"/>
        <v>1550.5</v>
      </c>
      <c r="Q3949" t="str">
        <f t="shared" si="448"/>
        <v>theater</v>
      </c>
      <c r="R3949" t="str">
        <f t="shared" si="449"/>
        <v>plays</v>
      </c>
      <c r="S3949" s="9">
        <f t="shared" si="452"/>
        <v>42614.934537037036</v>
      </c>
      <c r="T3949" s="9">
        <f t="shared" si="453"/>
        <v>42644.934537037036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50"/>
        <v>0</v>
      </c>
      <c r="P3950">
        <f t="shared" si="451"/>
        <v>15000</v>
      </c>
      <c r="Q3950" t="str">
        <f t="shared" si="448"/>
        <v>theater</v>
      </c>
      <c r="R3950" t="str">
        <f t="shared" si="449"/>
        <v>plays</v>
      </c>
      <c r="S3950" s="9">
        <f t="shared" si="452"/>
        <v>41829.117164351854</v>
      </c>
      <c r="T3950" s="9">
        <f t="shared" si="453"/>
        <v>41889.117164351854</v>
      </c>
    </row>
    <row r="3951" spans="1:20" ht="43.5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50"/>
        <v>0.15770000000000001</v>
      </c>
      <c r="P3951">
        <f t="shared" si="451"/>
        <v>5788.5</v>
      </c>
      <c r="Q3951" t="str">
        <f t="shared" si="448"/>
        <v>theater</v>
      </c>
      <c r="R3951" t="str">
        <f t="shared" si="449"/>
        <v>plays</v>
      </c>
      <c r="S3951" s="9">
        <f t="shared" si="452"/>
        <v>42015.912280092591</v>
      </c>
      <c r="T3951" s="9">
        <f t="shared" si="453"/>
        <v>42045.912280092591</v>
      </c>
    </row>
    <row r="3952" spans="1:20" ht="43.5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50"/>
        <v>6.2500000000000003E-3</v>
      </c>
      <c r="P3952">
        <f t="shared" si="451"/>
        <v>2012.5</v>
      </c>
      <c r="Q3952" t="str">
        <f t="shared" si="448"/>
        <v>theater</v>
      </c>
      <c r="R3952" t="str">
        <f t="shared" si="449"/>
        <v>plays</v>
      </c>
      <c r="S3952" s="9">
        <f t="shared" si="452"/>
        <v>42439.493981481479</v>
      </c>
      <c r="T3952" s="9">
        <f t="shared" si="453"/>
        <v>42468.565972222219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50"/>
        <v>5.0000000000000004E-6</v>
      </c>
      <c r="P3953">
        <f t="shared" si="451"/>
        <v>100000.5</v>
      </c>
      <c r="Q3953" t="str">
        <f t="shared" si="448"/>
        <v>theater</v>
      </c>
      <c r="R3953" t="str">
        <f t="shared" si="449"/>
        <v>plays</v>
      </c>
      <c r="S3953" s="9">
        <f t="shared" si="452"/>
        <v>42433.617384259262</v>
      </c>
      <c r="T3953" s="9">
        <f t="shared" si="453"/>
        <v>42493.57571759259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50"/>
        <v>9.6153846153846159E-4</v>
      </c>
      <c r="P3954">
        <f t="shared" si="451"/>
        <v>13012.5</v>
      </c>
      <c r="Q3954" t="str">
        <f t="shared" si="448"/>
        <v>theater</v>
      </c>
      <c r="R3954" t="str">
        <f t="shared" si="449"/>
        <v>plays</v>
      </c>
      <c r="S3954" s="9">
        <f t="shared" si="452"/>
        <v>42243.582060185181</v>
      </c>
      <c r="T3954" s="9">
        <f t="shared" si="453"/>
        <v>42303.582060185181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50"/>
        <v>0</v>
      </c>
      <c r="P3955">
        <f t="shared" si="451"/>
        <v>8800</v>
      </c>
      <c r="Q3955" t="str">
        <f t="shared" ref="Q3955:Q4018" si="454">IF(N3955="theater/plays","theater")</f>
        <v>theater</v>
      </c>
      <c r="R3955" t="str">
        <f t="shared" ref="R3955:R4018" si="455">IF(N3955="theater/plays","plays")</f>
        <v>plays</v>
      </c>
      <c r="S3955" s="9">
        <f t="shared" si="452"/>
        <v>42549.840115740742</v>
      </c>
      <c r="T3955" s="9">
        <f t="shared" si="453"/>
        <v>42580.770138888889</v>
      </c>
    </row>
    <row r="3956" spans="1:20" ht="43.5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50"/>
        <v>0</v>
      </c>
      <c r="P3956">
        <f t="shared" si="451"/>
        <v>12500</v>
      </c>
      <c r="Q3956" t="str">
        <f t="shared" si="454"/>
        <v>theater</v>
      </c>
      <c r="R3956" t="str">
        <f t="shared" si="455"/>
        <v>plays</v>
      </c>
      <c r="S3956" s="9">
        <f t="shared" si="452"/>
        <v>41774.442870370367</v>
      </c>
      <c r="T3956" s="9">
        <f t="shared" si="453"/>
        <v>41834.442870370367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50"/>
        <v>0.24285714285714285</v>
      </c>
      <c r="P3957">
        <f t="shared" si="451"/>
        <v>1087.5</v>
      </c>
      <c r="Q3957" t="str">
        <f t="shared" si="454"/>
        <v>theater</v>
      </c>
      <c r="R3957" t="str">
        <f t="shared" si="455"/>
        <v>plays</v>
      </c>
      <c r="S3957" s="9">
        <f t="shared" si="452"/>
        <v>42306.640520833331</v>
      </c>
      <c r="T3957" s="9">
        <f t="shared" si="453"/>
        <v>42336.682187499995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50"/>
        <v>0</v>
      </c>
      <c r="P3958">
        <f t="shared" si="451"/>
        <v>2750</v>
      </c>
      <c r="Q3958" t="str">
        <f t="shared" si="454"/>
        <v>theater</v>
      </c>
      <c r="R3958" t="str">
        <f t="shared" si="455"/>
        <v>plays</v>
      </c>
      <c r="S3958" s="9">
        <f t="shared" si="452"/>
        <v>42457.723692129628</v>
      </c>
      <c r="T3958" s="9">
        <f t="shared" si="453"/>
        <v>42484.805555555555</v>
      </c>
    </row>
    <row r="3959" spans="1:20" ht="29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50"/>
        <v>2.5000000000000001E-4</v>
      </c>
      <c r="P3959">
        <f t="shared" si="451"/>
        <v>14003.5</v>
      </c>
      <c r="Q3959" t="str">
        <f t="shared" si="454"/>
        <v>theater</v>
      </c>
      <c r="R3959" t="str">
        <f t="shared" si="455"/>
        <v>plays</v>
      </c>
      <c r="S3959" s="9">
        <f t="shared" si="452"/>
        <v>42513.76798611111</v>
      </c>
      <c r="T3959" s="9">
        <f t="shared" si="453"/>
        <v>42559.76798611111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50"/>
        <v>0.32050000000000001</v>
      </c>
      <c r="P3960">
        <f t="shared" si="451"/>
        <v>1320.5</v>
      </c>
      <c r="Q3960" t="str">
        <f t="shared" si="454"/>
        <v>theater</v>
      </c>
      <c r="R3960" t="str">
        <f t="shared" si="455"/>
        <v>plays</v>
      </c>
      <c r="S3960" s="9">
        <f t="shared" si="452"/>
        <v>41816.742037037031</v>
      </c>
      <c r="T3960" s="9">
        <f t="shared" si="453"/>
        <v>41853.375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50"/>
        <v>0.24333333333333335</v>
      </c>
      <c r="P3961">
        <f t="shared" si="451"/>
        <v>746</v>
      </c>
      <c r="Q3961" t="str">
        <f t="shared" si="454"/>
        <v>theater</v>
      </c>
      <c r="R3961" t="str">
        <f t="shared" si="455"/>
        <v>plays</v>
      </c>
      <c r="S3961" s="9">
        <f t="shared" si="452"/>
        <v>41880.580509259256</v>
      </c>
      <c r="T3961" s="9">
        <f t="shared" si="453"/>
        <v>41910.580509259256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50"/>
        <v>1.4999999999999999E-2</v>
      </c>
      <c r="P3962">
        <f t="shared" si="451"/>
        <v>1522.5</v>
      </c>
      <c r="Q3962" t="str">
        <f t="shared" si="454"/>
        <v>theater</v>
      </c>
      <c r="R3962" t="str">
        <f t="shared" si="455"/>
        <v>plays</v>
      </c>
      <c r="S3962" s="9">
        <f t="shared" si="452"/>
        <v>42342.63722222222</v>
      </c>
      <c r="T3962" s="9">
        <f t="shared" si="453"/>
        <v>42372.63722222222</v>
      </c>
    </row>
    <row r="3963" spans="1:20" ht="43.5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50"/>
        <v>4.1999999999999997E-3</v>
      </c>
      <c r="P3963">
        <f t="shared" si="451"/>
        <v>2510.5</v>
      </c>
      <c r="Q3963" t="str">
        <f t="shared" si="454"/>
        <v>theater</v>
      </c>
      <c r="R3963" t="str">
        <f t="shared" si="455"/>
        <v>plays</v>
      </c>
      <c r="S3963" s="9">
        <f t="shared" si="452"/>
        <v>41745.682986111111</v>
      </c>
      <c r="T3963" s="9">
        <f t="shared" si="453"/>
        <v>41767.682986111111</v>
      </c>
    </row>
    <row r="3964" spans="1:20" ht="43.5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50"/>
        <v>3.214285714285714E-2</v>
      </c>
      <c r="P3964">
        <f t="shared" si="451"/>
        <v>722.5</v>
      </c>
      <c r="Q3964" t="str">
        <f t="shared" si="454"/>
        <v>theater</v>
      </c>
      <c r="R3964" t="str">
        <f t="shared" si="455"/>
        <v>plays</v>
      </c>
      <c r="S3964" s="9">
        <f t="shared" si="452"/>
        <v>42311.413124999999</v>
      </c>
      <c r="T3964" s="9">
        <f t="shared" si="453"/>
        <v>42336.413124999999</v>
      </c>
    </row>
    <row r="3965" spans="1:20" ht="43.5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50"/>
        <v>0</v>
      </c>
      <c r="P3965">
        <f t="shared" si="451"/>
        <v>5000</v>
      </c>
      <c r="Q3965" t="str">
        <f t="shared" si="454"/>
        <v>theater</v>
      </c>
      <c r="R3965" t="str">
        <f t="shared" si="455"/>
        <v>plays</v>
      </c>
      <c r="S3965" s="9">
        <f t="shared" si="452"/>
        <v>42295.945798611108</v>
      </c>
      <c r="T3965" s="9">
        <f t="shared" si="453"/>
        <v>42325.987465277773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50"/>
        <v>6.3E-2</v>
      </c>
      <c r="P3966">
        <f t="shared" si="451"/>
        <v>1063</v>
      </c>
      <c r="Q3966" t="str">
        <f t="shared" si="454"/>
        <v>theater</v>
      </c>
      <c r="R3966" t="str">
        <f t="shared" si="455"/>
        <v>plays</v>
      </c>
      <c r="S3966" s="9">
        <f t="shared" si="452"/>
        <v>42053.513726851852</v>
      </c>
      <c r="T3966" s="9">
        <f t="shared" si="453"/>
        <v>42113.47206018518</v>
      </c>
    </row>
    <row r="3967" spans="1:20" ht="43.5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50"/>
        <v>0.14249999999999999</v>
      </c>
      <c r="P3967">
        <f t="shared" si="451"/>
        <v>1142.5</v>
      </c>
      <c r="Q3967" t="str">
        <f t="shared" si="454"/>
        <v>theater</v>
      </c>
      <c r="R3967" t="str">
        <f t="shared" si="455"/>
        <v>plays</v>
      </c>
      <c r="S3967" s="9">
        <f t="shared" si="452"/>
        <v>42414.027546296296</v>
      </c>
      <c r="T3967" s="9">
        <f t="shared" si="453"/>
        <v>42473.985879629625</v>
      </c>
    </row>
    <row r="3968" spans="1:20" ht="43.5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50"/>
        <v>6.0000000000000001E-3</v>
      </c>
      <c r="P3968">
        <f t="shared" si="451"/>
        <v>3772.5</v>
      </c>
      <c r="Q3968" t="str">
        <f t="shared" si="454"/>
        <v>theater</v>
      </c>
      <c r="R3968" t="str">
        <f t="shared" si="455"/>
        <v>plays</v>
      </c>
      <c r="S3968" s="9">
        <f t="shared" si="452"/>
        <v>41801.503217592588</v>
      </c>
      <c r="T3968" s="9">
        <f t="shared" si="453"/>
        <v>41843.915972222218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50"/>
        <v>0.2411764705882353</v>
      </c>
      <c r="P3969">
        <f t="shared" si="451"/>
        <v>1055</v>
      </c>
      <c r="Q3969" t="str">
        <f t="shared" si="454"/>
        <v>theater</v>
      </c>
      <c r="R3969" t="str">
        <f t="shared" si="455"/>
        <v>plays</v>
      </c>
      <c r="S3969" s="9">
        <f t="shared" si="452"/>
        <v>42770.082256944443</v>
      </c>
      <c r="T3969" s="9">
        <f t="shared" si="453"/>
        <v>42800.082256944443</v>
      </c>
    </row>
    <row r="3970" spans="1:20" ht="29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50"/>
        <v>0.10539999999999999</v>
      </c>
      <c r="P3970">
        <f t="shared" si="451"/>
        <v>2763.5</v>
      </c>
      <c r="Q3970" t="str">
        <f t="shared" si="454"/>
        <v>theater</v>
      </c>
      <c r="R3970" t="str">
        <f t="shared" si="455"/>
        <v>plays</v>
      </c>
      <c r="S3970" s="9">
        <f t="shared" si="452"/>
        <v>42452.60732638889</v>
      </c>
      <c r="T3970" s="9">
        <f t="shared" si="453"/>
        <v>42512.60732638889</v>
      </c>
    </row>
    <row r="3971" spans="1:20" ht="43.5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456">E3971/D3971</f>
        <v>7.4690265486725665E-2</v>
      </c>
      <c r="P3971">
        <f t="shared" ref="P3971:P4034" si="457">AVERAGE(D3971:E3971)</f>
        <v>1518</v>
      </c>
      <c r="Q3971" t="str">
        <f t="shared" si="454"/>
        <v>theater</v>
      </c>
      <c r="R3971" t="str">
        <f t="shared" si="455"/>
        <v>plays</v>
      </c>
      <c r="S3971" s="9">
        <f t="shared" ref="S3971:S4034" si="458">J3971/86400+25569+(-5/24)</f>
        <v>42601.646365740737</v>
      </c>
      <c r="T3971" s="9">
        <f t="shared" si="453"/>
        <v>42610.954861111109</v>
      </c>
    </row>
    <row r="3972" spans="1:20" ht="43.5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56"/>
        <v>7.3333333333333334E-4</v>
      </c>
      <c r="P3972">
        <f t="shared" si="457"/>
        <v>7505.5</v>
      </c>
      <c r="Q3972" t="str">
        <f t="shared" si="454"/>
        <v>theater</v>
      </c>
      <c r="R3972" t="str">
        <f t="shared" si="455"/>
        <v>plays</v>
      </c>
      <c r="S3972" s="9">
        <f t="shared" si="458"/>
        <v>42447.655219907407</v>
      </c>
      <c r="T3972" s="9">
        <f t="shared" ref="T3972:T4035" si="459">I3972/86400+25569+(-5/24)</f>
        <v>42477.655219907407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56"/>
        <v>9.7142857142857135E-3</v>
      </c>
      <c r="P3973">
        <f t="shared" si="457"/>
        <v>7068</v>
      </c>
      <c r="Q3973" t="str">
        <f t="shared" si="454"/>
        <v>theater</v>
      </c>
      <c r="R3973" t="str">
        <f t="shared" si="455"/>
        <v>plays</v>
      </c>
      <c r="S3973" s="9">
        <f t="shared" si="458"/>
        <v>41811.327847222223</v>
      </c>
      <c r="T3973" s="9">
        <f t="shared" si="459"/>
        <v>41841.327847222223</v>
      </c>
    </row>
    <row r="3974" spans="1:20" ht="29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56"/>
        <v>0.21099999999999999</v>
      </c>
      <c r="P3974">
        <f t="shared" si="457"/>
        <v>605.5</v>
      </c>
      <c r="Q3974" t="str">
        <f t="shared" si="454"/>
        <v>theater</v>
      </c>
      <c r="R3974" t="str">
        <f t="shared" si="455"/>
        <v>plays</v>
      </c>
      <c r="S3974" s="9">
        <f t="shared" si="458"/>
        <v>41980.859189814808</v>
      </c>
      <c r="T3974" s="9">
        <f t="shared" si="459"/>
        <v>42040.859189814808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56"/>
        <v>0.78100000000000003</v>
      </c>
      <c r="P3975">
        <f t="shared" si="457"/>
        <v>4452.5</v>
      </c>
      <c r="Q3975" t="str">
        <f t="shared" si="454"/>
        <v>theater</v>
      </c>
      <c r="R3975" t="str">
        <f t="shared" si="455"/>
        <v>plays</v>
      </c>
      <c r="S3975" s="9">
        <f t="shared" si="458"/>
        <v>42469.475810185184</v>
      </c>
      <c r="T3975" s="9">
        <f t="shared" si="459"/>
        <v>42498.958333333336</v>
      </c>
    </row>
    <row r="3976" spans="1:20" ht="43.5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56"/>
        <v>0.32</v>
      </c>
      <c r="P3976">
        <f t="shared" si="457"/>
        <v>660</v>
      </c>
      <c r="Q3976" t="str">
        <f t="shared" si="454"/>
        <v>theater</v>
      </c>
      <c r="R3976" t="str">
        <f t="shared" si="455"/>
        <v>plays</v>
      </c>
      <c r="S3976" s="9">
        <f t="shared" si="458"/>
        <v>42493.338518518511</v>
      </c>
      <c r="T3976" s="9">
        <f t="shared" si="459"/>
        <v>42523.338518518511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56"/>
        <v>0</v>
      </c>
      <c r="P3977">
        <f t="shared" si="457"/>
        <v>339</v>
      </c>
      <c r="Q3977" t="str">
        <f t="shared" si="454"/>
        <v>theater</v>
      </c>
      <c r="R3977" t="str">
        <f t="shared" si="455"/>
        <v>plays</v>
      </c>
      <c r="S3977" s="9">
        <f t="shared" si="458"/>
        <v>42534.658541666664</v>
      </c>
      <c r="T3977" s="9">
        <f t="shared" si="459"/>
        <v>42564.658541666664</v>
      </c>
    </row>
    <row r="3978" spans="1:20" ht="43.5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56"/>
        <v>0.47692307692307695</v>
      </c>
      <c r="P3978">
        <f t="shared" si="457"/>
        <v>960</v>
      </c>
      <c r="Q3978" t="str">
        <f t="shared" si="454"/>
        <v>theater</v>
      </c>
      <c r="R3978" t="str">
        <f t="shared" si="455"/>
        <v>plays</v>
      </c>
      <c r="S3978" s="9">
        <f t="shared" si="458"/>
        <v>41830.650011574071</v>
      </c>
      <c r="T3978" s="9">
        <f t="shared" si="459"/>
        <v>41852.083333333328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56"/>
        <v>1.4500000000000001E-2</v>
      </c>
      <c r="P3979">
        <f t="shared" si="457"/>
        <v>45652.5</v>
      </c>
      <c r="Q3979" t="str">
        <f t="shared" si="454"/>
        <v>theater</v>
      </c>
      <c r="R3979" t="str">
        <f t="shared" si="455"/>
        <v>plays</v>
      </c>
      <c r="S3979" s="9">
        <f t="shared" si="458"/>
        <v>42543.580231481479</v>
      </c>
      <c r="T3979" s="9">
        <f t="shared" si="459"/>
        <v>42573.580231481479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56"/>
        <v>0.107</v>
      </c>
      <c r="P3980">
        <f t="shared" si="457"/>
        <v>1107</v>
      </c>
      <c r="Q3980" t="str">
        <f t="shared" si="454"/>
        <v>theater</v>
      </c>
      <c r="R3980" t="str">
        <f t="shared" si="455"/>
        <v>plays</v>
      </c>
      <c r="S3980" s="9">
        <f t="shared" si="458"/>
        <v>41975.434641203705</v>
      </c>
      <c r="T3980" s="9">
        <f t="shared" si="459"/>
        <v>42035.434641203705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56"/>
        <v>1.8333333333333333E-2</v>
      </c>
      <c r="P3981">
        <f t="shared" si="457"/>
        <v>3055</v>
      </c>
      <c r="Q3981" t="str">
        <f t="shared" si="454"/>
        <v>theater</v>
      </c>
      <c r="R3981" t="str">
        <f t="shared" si="455"/>
        <v>plays</v>
      </c>
      <c r="S3981" s="9">
        <f t="shared" si="458"/>
        <v>42069.695104166669</v>
      </c>
      <c r="T3981" s="9">
        <f t="shared" si="459"/>
        <v>42092.624999999993</v>
      </c>
    </row>
    <row r="3982" spans="1:20" ht="43.5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56"/>
        <v>0.18</v>
      </c>
      <c r="P3982">
        <f t="shared" si="457"/>
        <v>1475</v>
      </c>
      <c r="Q3982" t="str">
        <f t="shared" si="454"/>
        <v>theater</v>
      </c>
      <c r="R3982" t="str">
        <f t="shared" si="455"/>
        <v>plays</v>
      </c>
      <c r="S3982" s="9">
        <f t="shared" si="458"/>
        <v>41795.390590277777</v>
      </c>
      <c r="T3982" s="9">
        <f t="shared" si="459"/>
        <v>41825.390590277777</v>
      </c>
    </row>
    <row r="3983" spans="1:20" ht="29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56"/>
        <v>4.0833333333333333E-2</v>
      </c>
      <c r="P3983">
        <f t="shared" si="457"/>
        <v>15612.5</v>
      </c>
      <c r="Q3983" t="str">
        <f t="shared" si="454"/>
        <v>theater</v>
      </c>
      <c r="R3983" t="str">
        <f t="shared" si="455"/>
        <v>plays</v>
      </c>
      <c r="S3983" s="9">
        <f t="shared" si="458"/>
        <v>42507.971631944441</v>
      </c>
      <c r="T3983" s="9">
        <f t="shared" si="459"/>
        <v>42567.971631944441</v>
      </c>
    </row>
    <row r="3984" spans="1:20" ht="43.5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56"/>
        <v>0.2</v>
      </c>
      <c r="P3984">
        <f t="shared" si="457"/>
        <v>510</v>
      </c>
      <c r="Q3984" t="str">
        <f t="shared" si="454"/>
        <v>theater</v>
      </c>
      <c r="R3984" t="str">
        <f t="shared" si="455"/>
        <v>plays</v>
      </c>
      <c r="S3984" s="9">
        <f t="shared" si="458"/>
        <v>42132.601620370369</v>
      </c>
      <c r="T3984" s="9">
        <f t="shared" si="459"/>
        <v>42192.601620370369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56"/>
        <v>0.34802513464991025</v>
      </c>
      <c r="P3985">
        <f t="shared" si="457"/>
        <v>7508.5</v>
      </c>
      <c r="Q3985" t="str">
        <f t="shared" si="454"/>
        <v>theater</v>
      </c>
      <c r="R3985" t="str">
        <f t="shared" si="455"/>
        <v>plays</v>
      </c>
      <c r="S3985" s="9">
        <f t="shared" si="458"/>
        <v>41747.661527777775</v>
      </c>
      <c r="T3985" s="9">
        <f t="shared" si="459"/>
        <v>41779.082638888889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56"/>
        <v>6.3333333333333339E-2</v>
      </c>
      <c r="P3986">
        <f t="shared" si="457"/>
        <v>797.5</v>
      </c>
      <c r="Q3986" t="str">
        <f t="shared" si="454"/>
        <v>theater</v>
      </c>
      <c r="R3986" t="str">
        <f t="shared" si="455"/>
        <v>plays</v>
      </c>
      <c r="S3986" s="9">
        <f t="shared" si="458"/>
        <v>41920.75513888889</v>
      </c>
      <c r="T3986" s="9">
        <f t="shared" si="459"/>
        <v>41950.791666666664</v>
      </c>
    </row>
    <row r="3987" spans="1:20" ht="43.5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56"/>
        <v>0.32050000000000001</v>
      </c>
      <c r="P3987">
        <f t="shared" si="457"/>
        <v>1320.5</v>
      </c>
      <c r="Q3987" t="str">
        <f t="shared" si="454"/>
        <v>theater</v>
      </c>
      <c r="R3987" t="str">
        <f t="shared" si="455"/>
        <v>plays</v>
      </c>
      <c r="S3987" s="9">
        <f t="shared" si="458"/>
        <v>42399.499074074069</v>
      </c>
      <c r="T3987" s="9">
        <f t="shared" si="459"/>
        <v>42420.670138888883</v>
      </c>
    </row>
    <row r="3988" spans="1:20" ht="43.5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56"/>
        <v>9.7600000000000006E-2</v>
      </c>
      <c r="P3988">
        <f t="shared" si="457"/>
        <v>2744</v>
      </c>
      <c r="Q3988" t="str">
        <f t="shared" si="454"/>
        <v>theater</v>
      </c>
      <c r="R3988" t="str">
        <f t="shared" si="455"/>
        <v>plays</v>
      </c>
      <c r="S3988" s="9">
        <f t="shared" si="458"/>
        <v>42467.340208333328</v>
      </c>
      <c r="T3988" s="9">
        <f t="shared" si="459"/>
        <v>42496.336111111108</v>
      </c>
    </row>
    <row r="3989" spans="1:20" ht="29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56"/>
        <v>0.3775</v>
      </c>
      <c r="P3989">
        <f t="shared" si="457"/>
        <v>275.5</v>
      </c>
      <c r="Q3989" t="str">
        <f t="shared" si="454"/>
        <v>theater</v>
      </c>
      <c r="R3989" t="str">
        <f t="shared" si="455"/>
        <v>plays</v>
      </c>
      <c r="S3989" s="9">
        <f t="shared" si="458"/>
        <v>41765.716319444444</v>
      </c>
      <c r="T3989" s="9">
        <f t="shared" si="459"/>
        <v>41775.716319444444</v>
      </c>
    </row>
    <row r="3990" spans="1:20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56"/>
        <v>2.1333333333333333E-2</v>
      </c>
      <c r="P3990">
        <f t="shared" si="457"/>
        <v>766</v>
      </c>
      <c r="Q3990" t="str">
        <f t="shared" si="454"/>
        <v>theater</v>
      </c>
      <c r="R3990" t="str">
        <f t="shared" si="455"/>
        <v>plays</v>
      </c>
      <c r="S3990" s="9">
        <f t="shared" si="458"/>
        <v>42229.872835648144</v>
      </c>
      <c r="T3990" s="9">
        <f t="shared" si="459"/>
        <v>42244.872835648144</v>
      </c>
    </row>
    <row r="3991" spans="1:20" ht="43.5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56"/>
        <v>0</v>
      </c>
      <c r="P3991">
        <f t="shared" si="457"/>
        <v>1500</v>
      </c>
      <c r="Q3991" t="str">
        <f t="shared" si="454"/>
        <v>theater</v>
      </c>
      <c r="R3991" t="str">
        <f t="shared" si="455"/>
        <v>plays</v>
      </c>
      <c r="S3991" s="9">
        <f t="shared" si="458"/>
        <v>42286.541446759256</v>
      </c>
      <c r="T3991" s="9">
        <f t="shared" si="459"/>
        <v>42316.583113425928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56"/>
        <v>4.1818181818181817E-2</v>
      </c>
      <c r="P3992">
        <f t="shared" si="457"/>
        <v>859.5</v>
      </c>
      <c r="Q3992" t="str">
        <f t="shared" si="454"/>
        <v>theater</v>
      </c>
      <c r="R3992" t="str">
        <f t="shared" si="455"/>
        <v>plays</v>
      </c>
      <c r="S3992" s="9">
        <f t="shared" si="458"/>
        <v>42401.464039351849</v>
      </c>
      <c r="T3992" s="9">
        <f t="shared" si="459"/>
        <v>42431.464039351849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56"/>
        <v>0.2</v>
      </c>
      <c r="P3993">
        <f t="shared" si="457"/>
        <v>300</v>
      </c>
      <c r="Q3993" t="str">
        <f t="shared" si="454"/>
        <v>theater</v>
      </c>
      <c r="R3993" t="str">
        <f t="shared" si="455"/>
        <v>plays</v>
      </c>
      <c r="S3993" s="9">
        <f t="shared" si="458"/>
        <v>42125.436134259253</v>
      </c>
      <c r="T3993" s="9">
        <f t="shared" si="459"/>
        <v>42155.436134259253</v>
      </c>
    </row>
    <row r="3994" spans="1:20" ht="29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56"/>
        <v>5.4100000000000002E-2</v>
      </c>
      <c r="P3994">
        <f t="shared" si="457"/>
        <v>5270.5</v>
      </c>
      <c r="Q3994" t="str">
        <f t="shared" si="454"/>
        <v>theater</v>
      </c>
      <c r="R3994" t="str">
        <f t="shared" si="455"/>
        <v>plays</v>
      </c>
      <c r="S3994" s="9">
        <f t="shared" si="458"/>
        <v>42289.732164351844</v>
      </c>
      <c r="T3994" s="9">
        <f t="shared" si="459"/>
        <v>42349.773831018516</v>
      </c>
    </row>
    <row r="3995" spans="1:20" ht="29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56"/>
        <v>6.0000000000000002E-5</v>
      </c>
      <c r="P3995">
        <f t="shared" si="457"/>
        <v>25001.5</v>
      </c>
      <c r="Q3995" t="str">
        <f t="shared" si="454"/>
        <v>theater</v>
      </c>
      <c r="R3995" t="str">
        <f t="shared" si="455"/>
        <v>plays</v>
      </c>
      <c r="S3995" s="9">
        <f t="shared" si="458"/>
        <v>42107.656388888885</v>
      </c>
      <c r="T3995" s="9">
        <f t="shared" si="459"/>
        <v>42137.656388888885</v>
      </c>
    </row>
    <row r="3996" spans="1:20" ht="29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56"/>
        <v>2.5000000000000001E-3</v>
      </c>
      <c r="P3996">
        <f t="shared" si="457"/>
        <v>1002.5</v>
      </c>
      <c r="Q3996" t="str">
        <f t="shared" si="454"/>
        <v>theater</v>
      </c>
      <c r="R3996" t="str">
        <f t="shared" si="455"/>
        <v>plays</v>
      </c>
      <c r="S3996" s="9">
        <f t="shared" si="458"/>
        <v>41809.181597222218</v>
      </c>
      <c r="T3996" s="9">
        <f t="shared" si="459"/>
        <v>41839.181597222218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56"/>
        <v>0.35</v>
      </c>
      <c r="P3997">
        <f t="shared" si="457"/>
        <v>135</v>
      </c>
      <c r="Q3997" t="str">
        <f t="shared" si="454"/>
        <v>theater</v>
      </c>
      <c r="R3997" t="str">
        <f t="shared" si="455"/>
        <v>plays</v>
      </c>
      <c r="S3997" s="9">
        <f t="shared" si="458"/>
        <v>42019.475428240738</v>
      </c>
      <c r="T3997" s="9">
        <f t="shared" si="459"/>
        <v>42049.268749999996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56"/>
        <v>0.16566666666666666</v>
      </c>
      <c r="P3998">
        <f t="shared" si="457"/>
        <v>1748.5</v>
      </c>
      <c r="Q3998" t="str">
        <f t="shared" si="454"/>
        <v>theater</v>
      </c>
      <c r="R3998" t="str">
        <f t="shared" si="455"/>
        <v>plays</v>
      </c>
      <c r="S3998" s="9">
        <f t="shared" si="458"/>
        <v>41950.058611111112</v>
      </c>
      <c r="T3998" s="9">
        <f t="shared" si="459"/>
        <v>41963.461111111108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56"/>
        <v>0</v>
      </c>
      <c r="P3999">
        <f t="shared" si="457"/>
        <v>1500</v>
      </c>
      <c r="Q3999" t="str">
        <f t="shared" si="454"/>
        <v>theater</v>
      </c>
      <c r="R3999" t="str">
        <f t="shared" si="455"/>
        <v>plays</v>
      </c>
      <c r="S3999" s="9">
        <f t="shared" si="458"/>
        <v>42069.183113425919</v>
      </c>
      <c r="T3999" s="9">
        <f t="shared" si="459"/>
        <v>42099.141446759262</v>
      </c>
    </row>
    <row r="4000" spans="1:20" ht="29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56"/>
        <v>0.57199999999999995</v>
      </c>
      <c r="P4000">
        <f t="shared" si="457"/>
        <v>982.5</v>
      </c>
      <c r="Q4000" t="str">
        <f t="shared" si="454"/>
        <v>theater</v>
      </c>
      <c r="R4000" t="str">
        <f t="shared" si="455"/>
        <v>plays</v>
      </c>
      <c r="S4000" s="9">
        <f t="shared" si="458"/>
        <v>42061.754930555551</v>
      </c>
      <c r="T4000" s="9">
        <f t="shared" si="459"/>
        <v>42091.713263888887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56"/>
        <v>0.16514285714285715</v>
      </c>
      <c r="P4001">
        <f t="shared" si="457"/>
        <v>4078</v>
      </c>
      <c r="Q4001" t="str">
        <f t="shared" si="454"/>
        <v>theater</v>
      </c>
      <c r="R4001" t="str">
        <f t="shared" si="455"/>
        <v>plays</v>
      </c>
      <c r="S4001" s="9">
        <f t="shared" si="458"/>
        <v>41842.620347222219</v>
      </c>
      <c r="T4001" s="9">
        <f t="shared" si="459"/>
        <v>41882.619317129625</v>
      </c>
    </row>
    <row r="4002" spans="1:20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56"/>
        <v>1.25E-3</v>
      </c>
      <c r="P4002">
        <f t="shared" si="457"/>
        <v>4005</v>
      </c>
      <c r="Q4002" t="str">
        <f t="shared" si="454"/>
        <v>theater</v>
      </c>
      <c r="R4002" t="str">
        <f t="shared" si="455"/>
        <v>plays</v>
      </c>
      <c r="S4002" s="9">
        <f t="shared" si="458"/>
        <v>42437.437013888884</v>
      </c>
      <c r="T4002" s="9">
        <f t="shared" si="459"/>
        <v>42497.39534722222</v>
      </c>
    </row>
    <row r="4003" spans="1:20" ht="43.5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56"/>
        <v>0.3775</v>
      </c>
      <c r="P4003">
        <f t="shared" si="457"/>
        <v>826.5</v>
      </c>
      <c r="Q4003" t="str">
        <f t="shared" si="454"/>
        <v>theater</v>
      </c>
      <c r="R4003" t="str">
        <f t="shared" si="455"/>
        <v>plays</v>
      </c>
      <c r="S4003" s="9">
        <f t="shared" si="458"/>
        <v>42775.755879629629</v>
      </c>
      <c r="T4003" s="9">
        <f t="shared" si="459"/>
        <v>42795.583333333336</v>
      </c>
    </row>
    <row r="4004" spans="1:20" ht="43.5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56"/>
        <v>1.84E-2</v>
      </c>
      <c r="P4004">
        <f t="shared" si="457"/>
        <v>636.5</v>
      </c>
      <c r="Q4004" t="str">
        <f t="shared" si="454"/>
        <v>theater</v>
      </c>
      <c r="R4004" t="str">
        <f t="shared" si="455"/>
        <v>plays</v>
      </c>
      <c r="S4004" s="9">
        <f t="shared" si="458"/>
        <v>41878.835196759253</v>
      </c>
      <c r="T4004" s="9">
        <f t="shared" si="459"/>
        <v>41908.835196759253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56"/>
        <v>0.10050000000000001</v>
      </c>
      <c r="P4005">
        <f t="shared" si="457"/>
        <v>1100.5</v>
      </c>
      <c r="Q4005" t="str">
        <f t="shared" si="454"/>
        <v>theater</v>
      </c>
      <c r="R4005" t="str">
        <f t="shared" si="455"/>
        <v>plays</v>
      </c>
      <c r="S4005" s="9">
        <f t="shared" si="458"/>
        <v>42020.379016203697</v>
      </c>
      <c r="T4005" s="9">
        <f t="shared" si="459"/>
        <v>42050.379016203697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56"/>
        <v>2E-3</v>
      </c>
      <c r="P4006">
        <f t="shared" si="457"/>
        <v>250.5</v>
      </c>
      <c r="Q4006" t="str">
        <f t="shared" si="454"/>
        <v>theater</v>
      </c>
      <c r="R4006" t="str">
        <f t="shared" si="455"/>
        <v>plays</v>
      </c>
      <c r="S4006" s="9">
        <f t="shared" si="458"/>
        <v>41889.954363425924</v>
      </c>
      <c r="T4006" s="9">
        <f t="shared" si="459"/>
        <v>41919.954363425924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56"/>
        <v>1.3333333333333334E-2</v>
      </c>
      <c r="P4007">
        <f t="shared" si="457"/>
        <v>1520</v>
      </c>
      <c r="Q4007" t="str">
        <f t="shared" si="454"/>
        <v>theater</v>
      </c>
      <c r="R4007" t="str">
        <f t="shared" si="455"/>
        <v>plays</v>
      </c>
      <c r="S4007" s="9">
        <f t="shared" si="458"/>
        <v>41872.599363425921</v>
      </c>
      <c r="T4007" s="9">
        <f t="shared" si="459"/>
        <v>41932.599363425921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56"/>
        <v>6.666666666666667E-5</v>
      </c>
      <c r="P4008">
        <f t="shared" si="457"/>
        <v>15001</v>
      </c>
      <c r="Q4008" t="str">
        <f t="shared" si="454"/>
        <v>theater</v>
      </c>
      <c r="R4008" t="str">
        <f t="shared" si="455"/>
        <v>plays</v>
      </c>
      <c r="S4008" s="9">
        <f t="shared" si="458"/>
        <v>42391.564664351848</v>
      </c>
      <c r="T4008" s="9">
        <f t="shared" si="459"/>
        <v>42416.564664351848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56"/>
        <v>2.5000000000000001E-3</v>
      </c>
      <c r="P4009">
        <f t="shared" si="457"/>
        <v>1002.5</v>
      </c>
      <c r="Q4009" t="str">
        <f t="shared" si="454"/>
        <v>theater</v>
      </c>
      <c r="R4009" t="str">
        <f t="shared" si="455"/>
        <v>plays</v>
      </c>
      <c r="S4009" s="9">
        <f t="shared" si="458"/>
        <v>41848.564594907402</v>
      </c>
      <c r="T4009" s="9">
        <f t="shared" si="459"/>
        <v>41877.477777777771</v>
      </c>
    </row>
    <row r="4010" spans="1:20" ht="43.5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56"/>
        <v>0.06</v>
      </c>
      <c r="P4010">
        <f t="shared" si="457"/>
        <v>530</v>
      </c>
      <c r="Q4010" t="str">
        <f t="shared" si="454"/>
        <v>theater</v>
      </c>
      <c r="R4010" t="str">
        <f t="shared" si="455"/>
        <v>plays</v>
      </c>
      <c r="S4010" s="9">
        <f t="shared" si="458"/>
        <v>42177.755868055552</v>
      </c>
      <c r="T4010" s="9">
        <f t="shared" si="459"/>
        <v>42207.755868055552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56"/>
        <v>3.8860103626943004E-2</v>
      </c>
      <c r="P4011">
        <f t="shared" si="457"/>
        <v>1002.5</v>
      </c>
      <c r="Q4011" t="str">
        <f t="shared" si="454"/>
        <v>theater</v>
      </c>
      <c r="R4011" t="str">
        <f t="shared" si="455"/>
        <v>plays</v>
      </c>
      <c r="S4011" s="9">
        <f t="shared" si="458"/>
        <v>41851.492592592593</v>
      </c>
      <c r="T4011" s="9">
        <f t="shared" si="459"/>
        <v>41891.492592592593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56"/>
        <v>0.24194444444444443</v>
      </c>
      <c r="P4012">
        <f t="shared" si="457"/>
        <v>4471</v>
      </c>
      <c r="Q4012" t="str">
        <f t="shared" si="454"/>
        <v>theater</v>
      </c>
      <c r="R4012" t="str">
        <f t="shared" si="455"/>
        <v>plays</v>
      </c>
      <c r="S4012" s="9">
        <f t="shared" si="458"/>
        <v>41921.562106481477</v>
      </c>
      <c r="T4012" s="9">
        <f t="shared" si="459"/>
        <v>41938.562106481477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56"/>
        <v>7.5999999999999998E-2</v>
      </c>
      <c r="P4013">
        <f t="shared" si="457"/>
        <v>134.5</v>
      </c>
      <c r="Q4013" t="str">
        <f t="shared" si="454"/>
        <v>theater</v>
      </c>
      <c r="R4013" t="str">
        <f t="shared" si="455"/>
        <v>plays</v>
      </c>
      <c r="S4013" s="9">
        <f t="shared" si="458"/>
        <v>42002.336550925924</v>
      </c>
      <c r="T4013" s="9">
        <f t="shared" si="459"/>
        <v>42032.336550925924</v>
      </c>
    </row>
    <row r="4014" spans="1:20" ht="43.5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56"/>
        <v>0</v>
      </c>
      <c r="P4014">
        <f t="shared" si="457"/>
        <v>287.5</v>
      </c>
      <c r="Q4014" t="str">
        <f t="shared" si="454"/>
        <v>theater</v>
      </c>
      <c r="R4014" t="str">
        <f t="shared" si="455"/>
        <v>plays</v>
      </c>
      <c r="S4014" s="9">
        <f t="shared" si="458"/>
        <v>42096.336215277777</v>
      </c>
      <c r="T4014" s="9">
        <f t="shared" si="459"/>
        <v>42126.336215277777</v>
      </c>
    </row>
    <row r="4015" spans="1:20" ht="43.5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56"/>
        <v>1.2999999999999999E-2</v>
      </c>
      <c r="P4015">
        <f t="shared" si="457"/>
        <v>1013</v>
      </c>
      <c r="Q4015" t="str">
        <f t="shared" si="454"/>
        <v>theater</v>
      </c>
      <c r="R4015" t="str">
        <f t="shared" si="455"/>
        <v>plays</v>
      </c>
      <c r="S4015" s="9">
        <f t="shared" si="458"/>
        <v>42021.092858796292</v>
      </c>
      <c r="T4015" s="9">
        <f t="shared" si="459"/>
        <v>42051.092858796292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56"/>
        <v>0</v>
      </c>
      <c r="P4016">
        <f t="shared" si="457"/>
        <v>4500</v>
      </c>
      <c r="Q4016" t="str">
        <f t="shared" si="454"/>
        <v>theater</v>
      </c>
      <c r="R4016" t="str">
        <f t="shared" si="455"/>
        <v>plays</v>
      </c>
      <c r="S4016" s="9">
        <f t="shared" si="458"/>
        <v>42419.037835648145</v>
      </c>
      <c r="T4016" s="9">
        <f t="shared" si="459"/>
        <v>42434.037835648145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56"/>
        <v>1.4285714285714287E-4</v>
      </c>
      <c r="P4017">
        <f t="shared" si="457"/>
        <v>3500.5</v>
      </c>
      <c r="Q4017" t="str">
        <f t="shared" si="454"/>
        <v>theater</v>
      </c>
      <c r="R4017" t="str">
        <f t="shared" si="455"/>
        <v>plays</v>
      </c>
      <c r="S4017" s="9">
        <f t="shared" si="458"/>
        <v>42174.572488425925</v>
      </c>
      <c r="T4017" s="9">
        <f t="shared" si="459"/>
        <v>42204.572488425925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56"/>
        <v>0.14000000000000001</v>
      </c>
      <c r="P4018">
        <f t="shared" si="457"/>
        <v>285</v>
      </c>
      <c r="Q4018" t="str">
        <f t="shared" si="454"/>
        <v>theater</v>
      </c>
      <c r="R4018" t="str">
        <f t="shared" si="455"/>
        <v>plays</v>
      </c>
      <c r="S4018" s="9">
        <f t="shared" si="458"/>
        <v>41869.664351851847</v>
      </c>
      <c r="T4018" s="9">
        <f t="shared" si="459"/>
        <v>41899.664351851847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56"/>
        <v>1.0500000000000001E-2</v>
      </c>
      <c r="P4019">
        <f t="shared" si="457"/>
        <v>5052.5</v>
      </c>
      <c r="Q4019" t="str">
        <f t="shared" ref="Q4019:Q4082" si="460">IF(N4019="theater/plays","theater")</f>
        <v>theater</v>
      </c>
      <c r="R4019" t="str">
        <f t="shared" ref="R4019:R4082" si="461">IF(N4019="theater/plays","plays")</f>
        <v>plays</v>
      </c>
      <c r="S4019" s="9">
        <f t="shared" si="458"/>
        <v>41856.463819444441</v>
      </c>
      <c r="T4019" s="9">
        <f t="shared" si="459"/>
        <v>41886.463819444441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56"/>
        <v>8.666666666666667E-2</v>
      </c>
      <c r="P4020">
        <f t="shared" si="457"/>
        <v>815</v>
      </c>
      <c r="Q4020" t="str">
        <f t="shared" si="460"/>
        <v>theater</v>
      </c>
      <c r="R4020" t="str">
        <f t="shared" si="461"/>
        <v>plays</v>
      </c>
      <c r="S4020" s="9">
        <f t="shared" si="458"/>
        <v>42620.702638888884</v>
      </c>
      <c r="T4020" s="9">
        <f t="shared" si="459"/>
        <v>42650.702638888884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56"/>
        <v>8.2857142857142851E-3</v>
      </c>
      <c r="P4021">
        <f t="shared" si="457"/>
        <v>1764.5</v>
      </c>
      <c r="Q4021" t="str">
        <f t="shared" si="460"/>
        <v>theater</v>
      </c>
      <c r="R4021" t="str">
        <f t="shared" si="461"/>
        <v>plays</v>
      </c>
      <c r="S4021" s="9">
        <f t="shared" si="458"/>
        <v>42417.467546296299</v>
      </c>
      <c r="T4021" s="9">
        <f t="shared" si="459"/>
        <v>42475.477777777771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56"/>
        <v>0.16666666666666666</v>
      </c>
      <c r="P4022">
        <f t="shared" si="457"/>
        <v>350</v>
      </c>
      <c r="Q4022" t="str">
        <f t="shared" si="460"/>
        <v>theater</v>
      </c>
      <c r="R4022" t="str">
        <f t="shared" si="461"/>
        <v>plays</v>
      </c>
      <c r="S4022" s="9">
        <f t="shared" si="458"/>
        <v>42056.982627314814</v>
      </c>
      <c r="T4022" s="9">
        <f t="shared" si="459"/>
        <v>42086.940960648142</v>
      </c>
    </row>
    <row r="4023" spans="1:20" ht="29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56"/>
        <v>8.3333333333333332E-3</v>
      </c>
      <c r="P4023">
        <f t="shared" si="457"/>
        <v>7562.5</v>
      </c>
      <c r="Q4023" t="str">
        <f t="shared" si="460"/>
        <v>theater</v>
      </c>
      <c r="R4023" t="str">
        <f t="shared" si="461"/>
        <v>plays</v>
      </c>
      <c r="S4023" s="9">
        <f t="shared" si="458"/>
        <v>41878.703217592592</v>
      </c>
      <c r="T4023" s="9">
        <f t="shared" si="459"/>
        <v>41938.703217592592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56"/>
        <v>0.69561111111111107</v>
      </c>
      <c r="P4024">
        <f t="shared" si="457"/>
        <v>15260.5</v>
      </c>
      <c r="Q4024" t="str">
        <f t="shared" si="460"/>
        <v>theater</v>
      </c>
      <c r="R4024" t="str">
        <f t="shared" si="461"/>
        <v>plays</v>
      </c>
      <c r="S4024" s="9">
        <f t="shared" si="458"/>
        <v>41990.375775462962</v>
      </c>
      <c r="T4024" s="9">
        <f t="shared" si="459"/>
        <v>42035.912499999999</v>
      </c>
    </row>
    <row r="4025" spans="1:20" ht="29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56"/>
        <v>0</v>
      </c>
      <c r="P4025">
        <f t="shared" si="457"/>
        <v>3500</v>
      </c>
      <c r="Q4025" t="str">
        <f t="shared" si="460"/>
        <v>theater</v>
      </c>
      <c r="R4025" t="str">
        <f t="shared" si="461"/>
        <v>plays</v>
      </c>
      <c r="S4025" s="9">
        <f t="shared" si="458"/>
        <v>42408.791238425925</v>
      </c>
      <c r="T4025" s="9">
        <f t="shared" si="459"/>
        <v>42453.749571759261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56"/>
        <v>1.2500000000000001E-2</v>
      </c>
      <c r="P4026">
        <f t="shared" si="457"/>
        <v>405</v>
      </c>
      <c r="Q4026" t="str">
        <f t="shared" si="460"/>
        <v>theater</v>
      </c>
      <c r="R4026" t="str">
        <f t="shared" si="461"/>
        <v>plays</v>
      </c>
      <c r="S4026" s="9">
        <f t="shared" si="458"/>
        <v>42217.461770833332</v>
      </c>
      <c r="T4026" s="9">
        <f t="shared" si="459"/>
        <v>42247.461770833332</v>
      </c>
    </row>
    <row r="4027" spans="1:20" ht="43.5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56"/>
        <v>0.05</v>
      </c>
      <c r="P4027">
        <f t="shared" si="457"/>
        <v>2625</v>
      </c>
      <c r="Q4027" t="str">
        <f t="shared" si="460"/>
        <v>theater</v>
      </c>
      <c r="R4027" t="str">
        <f t="shared" si="461"/>
        <v>plays</v>
      </c>
      <c r="S4027" s="9">
        <f t="shared" si="458"/>
        <v>42151.029351851852</v>
      </c>
      <c r="T4027" s="9">
        <f t="shared" si="459"/>
        <v>42211.029351851852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56"/>
        <v>0</v>
      </c>
      <c r="P4028">
        <f t="shared" si="457"/>
        <v>2000</v>
      </c>
      <c r="Q4028" t="str">
        <f t="shared" si="460"/>
        <v>theater</v>
      </c>
      <c r="R4028" t="str">
        <f t="shared" si="461"/>
        <v>plays</v>
      </c>
      <c r="S4028" s="9">
        <f t="shared" si="458"/>
        <v>42282.447210648148</v>
      </c>
      <c r="T4028" s="9">
        <f t="shared" si="459"/>
        <v>42342.488877314812</v>
      </c>
    </row>
    <row r="4029" spans="1:20" ht="43.5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56"/>
        <v>7.166666666666667E-2</v>
      </c>
      <c r="P4029">
        <f t="shared" si="457"/>
        <v>1607.5</v>
      </c>
      <c r="Q4029" t="str">
        <f t="shared" si="460"/>
        <v>theater</v>
      </c>
      <c r="R4029" t="str">
        <f t="shared" si="461"/>
        <v>plays</v>
      </c>
      <c r="S4029" s="9">
        <f t="shared" si="458"/>
        <v>42768.762511574074</v>
      </c>
      <c r="T4029" s="9">
        <f t="shared" si="459"/>
        <v>42788.833333333336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56"/>
        <v>0.28050000000000003</v>
      </c>
      <c r="P4030">
        <f t="shared" si="457"/>
        <v>1280.5</v>
      </c>
      <c r="Q4030" t="str">
        <f t="shared" si="460"/>
        <v>theater</v>
      </c>
      <c r="R4030" t="str">
        <f t="shared" si="461"/>
        <v>plays</v>
      </c>
      <c r="S4030" s="9">
        <f t="shared" si="458"/>
        <v>41765.730324074073</v>
      </c>
      <c r="T4030" s="9">
        <f t="shared" si="459"/>
        <v>41795.730324074073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56"/>
        <v>0</v>
      </c>
      <c r="P4031">
        <f t="shared" si="457"/>
        <v>10000</v>
      </c>
      <c r="Q4031" t="str">
        <f t="shared" si="460"/>
        <v>theater</v>
      </c>
      <c r="R4031" t="str">
        <f t="shared" si="461"/>
        <v>plays</v>
      </c>
      <c r="S4031" s="9">
        <f t="shared" si="458"/>
        <v>42321.816782407404</v>
      </c>
      <c r="T4031" s="9">
        <f t="shared" si="459"/>
        <v>42351.816782407404</v>
      </c>
    </row>
    <row r="4032" spans="1:20" ht="43.5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56"/>
        <v>0.16</v>
      </c>
      <c r="P4032">
        <f t="shared" si="457"/>
        <v>1450</v>
      </c>
      <c r="Q4032" t="str">
        <f t="shared" si="460"/>
        <v>theater</v>
      </c>
      <c r="R4032" t="str">
        <f t="shared" si="461"/>
        <v>plays</v>
      </c>
      <c r="S4032" s="9">
        <f t="shared" si="458"/>
        <v>42374.446747685179</v>
      </c>
      <c r="T4032" s="9">
        <f t="shared" si="459"/>
        <v>42403.575694444444</v>
      </c>
    </row>
    <row r="4033" spans="1:20" ht="43.5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56"/>
        <v>0</v>
      </c>
      <c r="P4033">
        <f t="shared" si="457"/>
        <v>2500</v>
      </c>
      <c r="Q4033" t="str">
        <f t="shared" si="460"/>
        <v>theater</v>
      </c>
      <c r="R4033" t="str">
        <f t="shared" si="461"/>
        <v>plays</v>
      </c>
      <c r="S4033" s="9">
        <f t="shared" si="458"/>
        <v>41941.376898148148</v>
      </c>
      <c r="T4033" s="9">
        <f t="shared" si="459"/>
        <v>41991.418564814812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456"/>
        <v>6.8287037037037035E-2</v>
      </c>
      <c r="P4034">
        <f t="shared" si="457"/>
        <v>3230.5</v>
      </c>
      <c r="Q4034" t="str">
        <f t="shared" si="460"/>
        <v>theater</v>
      </c>
      <c r="R4034" t="str">
        <f t="shared" si="461"/>
        <v>plays</v>
      </c>
      <c r="S4034" s="9">
        <f t="shared" si="458"/>
        <v>42293.60087962963</v>
      </c>
      <c r="T4034" s="9">
        <f t="shared" si="459"/>
        <v>42353.642546296294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462">E4035/D4035</f>
        <v>0.25698702928870293</v>
      </c>
      <c r="P4035">
        <f t="shared" ref="P4035:P4098" si="463">AVERAGE(D4035:E4035)</f>
        <v>15020.994999999999</v>
      </c>
      <c r="Q4035" t="str">
        <f t="shared" si="460"/>
        <v>theater</v>
      </c>
      <c r="R4035" t="str">
        <f t="shared" si="461"/>
        <v>plays</v>
      </c>
      <c r="S4035" s="9">
        <f t="shared" ref="S4035:S4098" si="464">J4035/86400+25569+(-5/24)</f>
        <v>42614.06046296296</v>
      </c>
      <c r="T4035" s="9">
        <f t="shared" si="459"/>
        <v>42645.166666666664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462"/>
        <v>1.4814814814814815E-2</v>
      </c>
      <c r="P4036">
        <f t="shared" si="463"/>
        <v>6850</v>
      </c>
      <c r="Q4036" t="str">
        <f t="shared" si="460"/>
        <v>theater</v>
      </c>
      <c r="R4036" t="str">
        <f t="shared" si="461"/>
        <v>plays</v>
      </c>
      <c r="S4036" s="9">
        <f t="shared" si="464"/>
        <v>42067.739004629628</v>
      </c>
      <c r="T4036" s="9">
        <f t="shared" ref="T4036:T4099" si="465">I4036/86400+25569+(-5/24)</f>
        <v>42097.697337962956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462"/>
        <v>0.36849999999999999</v>
      </c>
      <c r="P4037">
        <f t="shared" si="463"/>
        <v>6842.5</v>
      </c>
      <c r="Q4037" t="str">
        <f t="shared" si="460"/>
        <v>theater</v>
      </c>
      <c r="R4037" t="str">
        <f t="shared" si="461"/>
        <v>plays</v>
      </c>
      <c r="S4037" s="9">
        <f t="shared" si="464"/>
        <v>41903.674618055556</v>
      </c>
      <c r="T4037" s="9">
        <f t="shared" si="465"/>
        <v>41933.674618055556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462"/>
        <v>0.47049999999999997</v>
      </c>
      <c r="P4038">
        <f t="shared" si="463"/>
        <v>4411.5</v>
      </c>
      <c r="Q4038" t="str">
        <f t="shared" si="460"/>
        <v>theater</v>
      </c>
      <c r="R4038" t="str">
        <f t="shared" si="461"/>
        <v>plays</v>
      </c>
      <c r="S4038" s="9">
        <f t="shared" si="464"/>
        <v>41804.728750000002</v>
      </c>
      <c r="T4038" s="9">
        <f t="shared" si="465"/>
        <v>41821.729166666664</v>
      </c>
    </row>
    <row r="4039" spans="1:20" ht="43.5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462"/>
        <v>0.11428571428571428</v>
      </c>
      <c r="P4039">
        <f t="shared" si="463"/>
        <v>390</v>
      </c>
      <c r="Q4039" t="str">
        <f t="shared" si="460"/>
        <v>theater</v>
      </c>
      <c r="R4039" t="str">
        <f t="shared" si="461"/>
        <v>plays</v>
      </c>
      <c r="S4039" s="9">
        <f t="shared" si="464"/>
        <v>42496.862442129626</v>
      </c>
      <c r="T4039" s="9">
        <f t="shared" si="465"/>
        <v>42514.392361111109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462"/>
        <v>0.12039999999999999</v>
      </c>
      <c r="P4040">
        <f t="shared" si="463"/>
        <v>1400.5</v>
      </c>
      <c r="Q4040" t="str">
        <f t="shared" si="460"/>
        <v>theater</v>
      </c>
      <c r="R4040" t="str">
        <f t="shared" si="461"/>
        <v>plays</v>
      </c>
      <c r="S4040" s="9">
        <f t="shared" si="464"/>
        <v>41869.590393518512</v>
      </c>
      <c r="T4040" s="9">
        <f t="shared" si="465"/>
        <v>41929.590393518512</v>
      </c>
    </row>
    <row r="4041" spans="1:20" ht="29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462"/>
        <v>0.6</v>
      </c>
      <c r="P4041">
        <f t="shared" si="463"/>
        <v>400</v>
      </c>
      <c r="Q4041" t="str">
        <f t="shared" si="460"/>
        <v>theater</v>
      </c>
      <c r="R4041" t="str">
        <f t="shared" si="461"/>
        <v>plays</v>
      </c>
      <c r="S4041" s="9">
        <f t="shared" si="464"/>
        <v>42305.462581018517</v>
      </c>
      <c r="T4041" s="9">
        <f t="shared" si="465"/>
        <v>42339.040972222218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462"/>
        <v>0.3125</v>
      </c>
      <c r="P4042">
        <f t="shared" si="463"/>
        <v>5250</v>
      </c>
      <c r="Q4042" t="str">
        <f t="shared" si="460"/>
        <v>theater</v>
      </c>
      <c r="R4042" t="str">
        <f t="shared" si="461"/>
        <v>plays</v>
      </c>
      <c r="S4042" s="9">
        <f t="shared" si="464"/>
        <v>42144.023194444446</v>
      </c>
      <c r="T4042" s="9">
        <f t="shared" si="465"/>
        <v>42202.916666666664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462"/>
        <v>4.1999999999999997E-3</v>
      </c>
      <c r="P4043">
        <f t="shared" si="463"/>
        <v>2510.5</v>
      </c>
      <c r="Q4043" t="str">
        <f t="shared" si="460"/>
        <v>theater</v>
      </c>
      <c r="R4043" t="str">
        <f t="shared" si="461"/>
        <v>plays</v>
      </c>
      <c r="S4043" s="9">
        <f t="shared" si="464"/>
        <v>42559.265671296293</v>
      </c>
      <c r="T4043" s="9">
        <f t="shared" si="465"/>
        <v>42619.265671296293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462"/>
        <v>2.0999999999999999E-3</v>
      </c>
      <c r="P4044">
        <f t="shared" si="463"/>
        <v>5010.5</v>
      </c>
      <c r="Q4044" t="str">
        <f t="shared" si="460"/>
        <v>theater</v>
      </c>
      <c r="R4044" t="str">
        <f t="shared" si="461"/>
        <v>plays</v>
      </c>
      <c r="S4044" s="9">
        <f t="shared" si="464"/>
        <v>41994.875740740739</v>
      </c>
      <c r="T4044" s="9">
        <f t="shared" si="465"/>
        <v>42024.594444444439</v>
      </c>
    </row>
    <row r="4045" spans="1:20" ht="29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462"/>
        <v>0</v>
      </c>
      <c r="P4045">
        <f t="shared" si="463"/>
        <v>150</v>
      </c>
      <c r="Q4045" t="str">
        <f t="shared" si="460"/>
        <v>theater</v>
      </c>
      <c r="R4045" t="str">
        <f t="shared" si="461"/>
        <v>plays</v>
      </c>
      <c r="S4045" s="9">
        <f t="shared" si="464"/>
        <v>41948.749131944445</v>
      </c>
      <c r="T4045" s="9">
        <f t="shared" si="465"/>
        <v>41963.749131944445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462"/>
        <v>0.375</v>
      </c>
      <c r="P4046">
        <f t="shared" si="463"/>
        <v>412.5</v>
      </c>
      <c r="Q4046" t="str">
        <f t="shared" si="460"/>
        <v>theater</v>
      </c>
      <c r="R4046" t="str">
        <f t="shared" si="461"/>
        <v>plays</v>
      </c>
      <c r="S4046" s="9">
        <f t="shared" si="464"/>
        <v>42074.011365740742</v>
      </c>
      <c r="T4046" s="9">
        <f t="shared" si="465"/>
        <v>42103.999999999993</v>
      </c>
    </row>
    <row r="4047" spans="1:20" ht="43.5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462"/>
        <v>2.0000000000000001E-4</v>
      </c>
      <c r="P4047">
        <f t="shared" si="463"/>
        <v>2500.5</v>
      </c>
      <c r="Q4047" t="str">
        <f t="shared" si="460"/>
        <v>theater</v>
      </c>
      <c r="R4047" t="str">
        <f t="shared" si="461"/>
        <v>plays</v>
      </c>
      <c r="S4047" s="9">
        <f t="shared" si="464"/>
        <v>41841.992928240739</v>
      </c>
      <c r="T4047" s="9">
        <f t="shared" si="465"/>
        <v>41871.992928240739</v>
      </c>
    </row>
    <row r="4048" spans="1:20" ht="43.5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462"/>
        <v>8.2142857142857142E-2</v>
      </c>
      <c r="P4048">
        <f t="shared" si="463"/>
        <v>3030</v>
      </c>
      <c r="Q4048" t="str">
        <f t="shared" si="460"/>
        <v>theater</v>
      </c>
      <c r="R4048" t="str">
        <f t="shared" si="461"/>
        <v>plays</v>
      </c>
      <c r="S4048" s="9">
        <f t="shared" si="464"/>
        <v>41904.442245370366</v>
      </c>
      <c r="T4048" s="9">
        <f t="shared" si="465"/>
        <v>41934.442245370366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462"/>
        <v>2.1999999999999999E-2</v>
      </c>
      <c r="P4049">
        <f t="shared" si="463"/>
        <v>2555</v>
      </c>
      <c r="Q4049" t="str">
        <f t="shared" si="460"/>
        <v>theater</v>
      </c>
      <c r="R4049" t="str">
        <f t="shared" si="461"/>
        <v>plays</v>
      </c>
      <c r="S4049" s="9">
        <f t="shared" si="464"/>
        <v>41990.814155092587</v>
      </c>
      <c r="T4049" s="9">
        <f t="shared" si="465"/>
        <v>42014.833333333336</v>
      </c>
    </row>
    <row r="4050" spans="1:20" ht="43.5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462"/>
        <v>0.17652941176470588</v>
      </c>
      <c r="P4050">
        <f t="shared" si="463"/>
        <v>10000.5</v>
      </c>
      <c r="Q4050" t="str">
        <f t="shared" si="460"/>
        <v>theater</v>
      </c>
      <c r="R4050" t="str">
        <f t="shared" si="461"/>
        <v>plays</v>
      </c>
      <c r="S4050" s="9">
        <f t="shared" si="464"/>
        <v>42436.300775462958</v>
      </c>
      <c r="T4050" s="9">
        <f t="shared" si="465"/>
        <v>42471.259108796294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462"/>
        <v>8.0000000000000004E-4</v>
      </c>
      <c r="P4051">
        <f t="shared" si="463"/>
        <v>10008</v>
      </c>
      <c r="Q4051" t="str">
        <f t="shared" si="460"/>
        <v>theater</v>
      </c>
      <c r="R4051" t="str">
        <f t="shared" si="461"/>
        <v>plays</v>
      </c>
      <c r="S4051" s="9">
        <f t="shared" si="464"/>
        <v>42169.750173611108</v>
      </c>
      <c r="T4051" s="9">
        <f t="shared" si="465"/>
        <v>42199.750173611108</v>
      </c>
    </row>
    <row r="4052" spans="1:20" ht="43.5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462"/>
        <v>6.6666666666666664E-4</v>
      </c>
      <c r="P4052">
        <f t="shared" si="463"/>
        <v>750.5</v>
      </c>
      <c r="Q4052" t="str">
        <f t="shared" si="460"/>
        <v>theater</v>
      </c>
      <c r="R4052" t="str">
        <f t="shared" si="461"/>
        <v>plays</v>
      </c>
      <c r="S4052" s="9">
        <f t="shared" si="464"/>
        <v>41905.428136574068</v>
      </c>
      <c r="T4052" s="9">
        <f t="shared" si="465"/>
        <v>41935.428136574068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462"/>
        <v>0</v>
      </c>
      <c r="P4053">
        <f t="shared" si="463"/>
        <v>250</v>
      </c>
      <c r="Q4053" t="str">
        <f t="shared" si="460"/>
        <v>theater</v>
      </c>
      <c r="R4053" t="str">
        <f t="shared" si="461"/>
        <v>plays</v>
      </c>
      <c r="S4053" s="9">
        <f t="shared" si="464"/>
        <v>41761.601817129624</v>
      </c>
      <c r="T4053" s="9">
        <f t="shared" si="465"/>
        <v>41768.078472222223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462"/>
        <v>0.37533333333333335</v>
      </c>
      <c r="P4054">
        <f t="shared" si="463"/>
        <v>2063</v>
      </c>
      <c r="Q4054" t="str">
        <f t="shared" si="460"/>
        <v>theater</v>
      </c>
      <c r="R4054" t="str">
        <f t="shared" si="461"/>
        <v>plays</v>
      </c>
      <c r="S4054" s="9">
        <f t="shared" si="464"/>
        <v>41865.670324074068</v>
      </c>
      <c r="T4054" s="9">
        <f t="shared" si="465"/>
        <v>41925.670324074068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462"/>
        <v>0.22</v>
      </c>
      <c r="P4055">
        <f t="shared" si="463"/>
        <v>305</v>
      </c>
      <c r="Q4055" t="str">
        <f t="shared" si="460"/>
        <v>theater</v>
      </c>
      <c r="R4055" t="str">
        <f t="shared" si="461"/>
        <v>plays</v>
      </c>
      <c r="S4055" s="9">
        <f t="shared" si="464"/>
        <v>41928.481805555552</v>
      </c>
      <c r="T4055" s="9">
        <f t="shared" si="465"/>
        <v>41958.624999999993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462"/>
        <v>0</v>
      </c>
      <c r="P4056">
        <f t="shared" si="463"/>
        <v>4440</v>
      </c>
      <c r="Q4056" t="str">
        <f t="shared" si="460"/>
        <v>theater</v>
      </c>
      <c r="R4056" t="str">
        <f t="shared" si="461"/>
        <v>plays</v>
      </c>
      <c r="S4056" s="9">
        <f t="shared" si="464"/>
        <v>42613.632928240739</v>
      </c>
      <c r="T4056" s="9">
        <f t="shared" si="465"/>
        <v>42643.958333333336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462"/>
        <v>0.1762</v>
      </c>
      <c r="P4057">
        <f t="shared" si="463"/>
        <v>2940.5</v>
      </c>
      <c r="Q4057" t="str">
        <f t="shared" si="460"/>
        <v>theater</v>
      </c>
      <c r="R4057" t="str">
        <f t="shared" si="461"/>
        <v>plays</v>
      </c>
      <c r="S4057" s="9">
        <f t="shared" si="464"/>
        <v>41779.44017361111</v>
      </c>
      <c r="T4057" s="9">
        <f t="shared" si="465"/>
        <v>41809.44017361111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462"/>
        <v>0.53</v>
      </c>
      <c r="P4058">
        <f t="shared" si="463"/>
        <v>1147.5</v>
      </c>
      <c r="Q4058" t="str">
        <f t="shared" si="460"/>
        <v>theater</v>
      </c>
      <c r="R4058" t="str">
        <f t="shared" si="461"/>
        <v>plays</v>
      </c>
      <c r="S4058" s="9">
        <f t="shared" si="464"/>
        <v>42534.724988425922</v>
      </c>
      <c r="T4058" s="9">
        <f t="shared" si="465"/>
        <v>42554.624305555553</v>
      </c>
    </row>
    <row r="4059" spans="1:20" ht="43.5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462"/>
        <v>0.22142857142857142</v>
      </c>
      <c r="P4059">
        <f t="shared" si="463"/>
        <v>2137.5</v>
      </c>
      <c r="Q4059" t="str">
        <f t="shared" si="460"/>
        <v>theater</v>
      </c>
      <c r="R4059" t="str">
        <f t="shared" si="461"/>
        <v>plays</v>
      </c>
      <c r="S4059" s="9">
        <f t="shared" si="464"/>
        <v>42310.760185185187</v>
      </c>
      <c r="T4059" s="9">
        <f t="shared" si="465"/>
        <v>42333.749999999993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462"/>
        <v>2.5333333333333333E-2</v>
      </c>
      <c r="P4060">
        <f t="shared" si="463"/>
        <v>1922.5</v>
      </c>
      <c r="Q4060" t="str">
        <f t="shared" si="460"/>
        <v>theater</v>
      </c>
      <c r="R4060" t="str">
        <f t="shared" si="461"/>
        <v>plays</v>
      </c>
      <c r="S4060" s="9">
        <f t="shared" si="464"/>
        <v>42445.852361111109</v>
      </c>
      <c r="T4060" s="9">
        <f t="shared" si="465"/>
        <v>42460.957638888889</v>
      </c>
    </row>
    <row r="4061" spans="1:20" ht="29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462"/>
        <v>2.5000000000000001E-2</v>
      </c>
      <c r="P4061">
        <f t="shared" si="463"/>
        <v>5125</v>
      </c>
      <c r="Q4061" t="str">
        <f t="shared" si="460"/>
        <v>theater</v>
      </c>
      <c r="R4061" t="str">
        <f t="shared" si="461"/>
        <v>plays</v>
      </c>
      <c r="S4061" s="9">
        <f t="shared" si="464"/>
        <v>41866.432314814811</v>
      </c>
      <c r="T4061" s="9">
        <f t="shared" si="465"/>
        <v>41897.916666666664</v>
      </c>
    </row>
    <row r="4062" spans="1:20" ht="43.5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462"/>
        <v>2.8500000000000001E-2</v>
      </c>
      <c r="P4062">
        <f t="shared" si="463"/>
        <v>5142.5</v>
      </c>
      <c r="Q4062" t="str">
        <f t="shared" si="460"/>
        <v>theater</v>
      </c>
      <c r="R4062" t="str">
        <f t="shared" si="461"/>
        <v>plays</v>
      </c>
      <c r="S4062" s="9">
        <f t="shared" si="464"/>
        <v>41779.486759259256</v>
      </c>
      <c r="T4062" s="9">
        <f t="shared" si="465"/>
        <v>41813.458333333328</v>
      </c>
    </row>
    <row r="4063" spans="1:20" ht="29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462"/>
        <v>0</v>
      </c>
      <c r="P4063">
        <f t="shared" si="463"/>
        <v>262.5</v>
      </c>
      <c r="Q4063" t="str">
        <f t="shared" si="460"/>
        <v>theater</v>
      </c>
      <c r="R4063" t="str">
        <f t="shared" si="461"/>
        <v>plays</v>
      </c>
      <c r="S4063" s="9">
        <f t="shared" si="464"/>
        <v>42420.933136574073</v>
      </c>
      <c r="T4063" s="9">
        <f t="shared" si="465"/>
        <v>42480.891469907401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462"/>
        <v>2.4500000000000001E-2</v>
      </c>
      <c r="P4064">
        <f t="shared" si="463"/>
        <v>10245</v>
      </c>
      <c r="Q4064" t="str">
        <f t="shared" si="460"/>
        <v>theater</v>
      </c>
      <c r="R4064" t="str">
        <f t="shared" si="461"/>
        <v>plays</v>
      </c>
      <c r="S4064" s="9">
        <f t="shared" si="464"/>
        <v>42523.530879629623</v>
      </c>
      <c r="T4064" s="9">
        <f t="shared" si="465"/>
        <v>42553.530879629623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462"/>
        <v>1.4210526315789474E-2</v>
      </c>
      <c r="P4065">
        <f t="shared" si="463"/>
        <v>4817.5</v>
      </c>
      <c r="Q4065" t="str">
        <f t="shared" si="460"/>
        <v>theater</v>
      </c>
      <c r="R4065" t="str">
        <f t="shared" si="461"/>
        <v>plays</v>
      </c>
      <c r="S4065" s="9">
        <f t="shared" si="464"/>
        <v>41787.473194444443</v>
      </c>
      <c r="T4065" s="9">
        <f t="shared" si="465"/>
        <v>41817.473194444443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462"/>
        <v>0.1925</v>
      </c>
      <c r="P4066">
        <f t="shared" si="463"/>
        <v>1192.5</v>
      </c>
      <c r="Q4066" t="str">
        <f t="shared" si="460"/>
        <v>theater</v>
      </c>
      <c r="R4066" t="str">
        <f t="shared" si="461"/>
        <v>plays</v>
      </c>
      <c r="S4066" s="9">
        <f t="shared" si="464"/>
        <v>42093.379930555551</v>
      </c>
      <c r="T4066" s="9">
        <f t="shared" si="465"/>
        <v>42123.379930555551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462"/>
        <v>6.7499999999999999E-3</v>
      </c>
      <c r="P4067">
        <f t="shared" si="463"/>
        <v>2013.5</v>
      </c>
      <c r="Q4067" t="str">
        <f t="shared" si="460"/>
        <v>theater</v>
      </c>
      <c r="R4067" t="str">
        <f t="shared" si="461"/>
        <v>plays</v>
      </c>
      <c r="S4067" s="9">
        <f t="shared" si="464"/>
        <v>41833.74318287037</v>
      </c>
      <c r="T4067" s="9">
        <f t="shared" si="465"/>
        <v>41863.74318287037</v>
      </c>
    </row>
    <row r="4068" spans="1:20" ht="43.5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462"/>
        <v>1.6666666666666668E-3</v>
      </c>
      <c r="P4068">
        <f t="shared" si="463"/>
        <v>7512.5</v>
      </c>
      <c r="Q4068" t="str">
        <f t="shared" si="460"/>
        <v>theater</v>
      </c>
      <c r="R4068" t="str">
        <f t="shared" si="461"/>
        <v>plays</v>
      </c>
      <c r="S4068" s="9">
        <f t="shared" si="464"/>
        <v>42478.830879629626</v>
      </c>
      <c r="T4068" s="9">
        <f t="shared" si="465"/>
        <v>42508.830879629626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462"/>
        <v>0.60899999999999999</v>
      </c>
      <c r="P4069">
        <f t="shared" si="463"/>
        <v>4022.5</v>
      </c>
      <c r="Q4069" t="str">
        <f t="shared" si="460"/>
        <v>theater</v>
      </c>
      <c r="R4069" t="str">
        <f t="shared" si="461"/>
        <v>plays</v>
      </c>
      <c r="S4069" s="9">
        <f t="shared" si="464"/>
        <v>42234.909143518518</v>
      </c>
      <c r="T4069" s="9">
        <f t="shared" si="465"/>
        <v>42274.909143518518</v>
      </c>
    </row>
    <row r="4070" spans="1:20" ht="29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462"/>
        <v>0.01</v>
      </c>
      <c r="P4070">
        <f t="shared" si="463"/>
        <v>1764.9749999999999</v>
      </c>
      <c r="Q4070" t="str">
        <f t="shared" si="460"/>
        <v>theater</v>
      </c>
      <c r="R4070" t="str">
        <f t="shared" si="461"/>
        <v>plays</v>
      </c>
      <c r="S4070" s="9">
        <f t="shared" si="464"/>
        <v>42718.755266203698</v>
      </c>
      <c r="T4070" s="9">
        <f t="shared" si="465"/>
        <v>42748.753472222219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462"/>
        <v>0.34399999999999997</v>
      </c>
      <c r="P4071">
        <f t="shared" si="463"/>
        <v>840</v>
      </c>
      <c r="Q4071" t="str">
        <f t="shared" si="460"/>
        <v>theater</v>
      </c>
      <c r="R4071" t="str">
        <f t="shared" si="461"/>
        <v>plays</v>
      </c>
      <c r="S4071" s="9">
        <f t="shared" si="464"/>
        <v>42022.453194444439</v>
      </c>
      <c r="T4071" s="9">
        <f t="shared" si="465"/>
        <v>42063.291666666664</v>
      </c>
    </row>
    <row r="4072" spans="1:20" ht="29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462"/>
        <v>0.16500000000000001</v>
      </c>
      <c r="P4072">
        <f t="shared" si="463"/>
        <v>582.5</v>
      </c>
      <c r="Q4072" t="str">
        <f t="shared" si="460"/>
        <v>theater</v>
      </c>
      <c r="R4072" t="str">
        <f t="shared" si="461"/>
        <v>plays</v>
      </c>
      <c r="S4072" s="9">
        <f t="shared" si="464"/>
        <v>42031.458564814813</v>
      </c>
      <c r="T4072" s="9">
        <f t="shared" si="465"/>
        <v>42063.916666666664</v>
      </c>
    </row>
    <row r="4073" spans="1:20" ht="43.5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462"/>
        <v>0</v>
      </c>
      <c r="P4073">
        <f t="shared" si="463"/>
        <v>10000</v>
      </c>
      <c r="Q4073" t="str">
        <f t="shared" si="460"/>
        <v>theater</v>
      </c>
      <c r="R4073" t="str">
        <f t="shared" si="461"/>
        <v>plays</v>
      </c>
      <c r="S4073" s="9">
        <f t="shared" si="464"/>
        <v>42700.59642361111</v>
      </c>
      <c r="T4073" s="9">
        <f t="shared" si="465"/>
        <v>42730.59642361111</v>
      </c>
    </row>
    <row r="4074" spans="1:20" ht="43.5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462"/>
        <v>4.0000000000000001E-3</v>
      </c>
      <c r="P4074">
        <f t="shared" si="463"/>
        <v>502</v>
      </c>
      <c r="Q4074" t="str">
        <f t="shared" si="460"/>
        <v>theater</v>
      </c>
      <c r="R4074" t="str">
        <f t="shared" si="461"/>
        <v>plays</v>
      </c>
      <c r="S4074" s="9">
        <f t="shared" si="464"/>
        <v>41812.566099537034</v>
      </c>
      <c r="T4074" s="9">
        <f t="shared" si="465"/>
        <v>41872.566099537034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462"/>
        <v>1.0571428571428572E-2</v>
      </c>
      <c r="P4075">
        <f t="shared" si="463"/>
        <v>1768.5</v>
      </c>
      <c r="Q4075" t="str">
        <f t="shared" si="460"/>
        <v>theater</v>
      </c>
      <c r="R4075" t="str">
        <f t="shared" si="461"/>
        <v>plays</v>
      </c>
      <c r="S4075" s="9">
        <f t="shared" si="464"/>
        <v>42078.136874999997</v>
      </c>
      <c r="T4075" s="9">
        <f t="shared" si="465"/>
        <v>42132.958333333336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462"/>
        <v>0.26727272727272727</v>
      </c>
      <c r="P4076">
        <f t="shared" si="463"/>
        <v>1742.5</v>
      </c>
      <c r="Q4076" t="str">
        <f t="shared" si="460"/>
        <v>theater</v>
      </c>
      <c r="R4076" t="str">
        <f t="shared" si="461"/>
        <v>plays</v>
      </c>
      <c r="S4076" s="9">
        <f t="shared" si="464"/>
        <v>42283.344618055555</v>
      </c>
      <c r="T4076" s="9">
        <f t="shared" si="465"/>
        <v>42313.386284722219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462"/>
        <v>0.28799999999999998</v>
      </c>
      <c r="P4077">
        <f t="shared" si="463"/>
        <v>1288</v>
      </c>
      <c r="Q4077" t="str">
        <f t="shared" si="460"/>
        <v>theater</v>
      </c>
      <c r="R4077" t="str">
        <f t="shared" si="461"/>
        <v>plays</v>
      </c>
      <c r="S4077" s="9">
        <f t="shared" si="464"/>
        <v>41778.837604166663</v>
      </c>
      <c r="T4077" s="9">
        <f t="shared" si="465"/>
        <v>41820.519444444442</v>
      </c>
    </row>
    <row r="4078" spans="1:20" ht="29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462"/>
        <v>0</v>
      </c>
      <c r="P4078">
        <f t="shared" si="463"/>
        <v>350</v>
      </c>
      <c r="Q4078" t="str">
        <f t="shared" si="460"/>
        <v>theater</v>
      </c>
      <c r="R4078" t="str">
        <f t="shared" si="461"/>
        <v>plays</v>
      </c>
      <c r="S4078" s="9">
        <f t="shared" si="464"/>
        <v>41905.587372685179</v>
      </c>
      <c r="T4078" s="9">
        <f t="shared" si="465"/>
        <v>41933.618750000001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462"/>
        <v>8.8999999999999996E-2</v>
      </c>
      <c r="P4079">
        <f t="shared" si="463"/>
        <v>8167.5</v>
      </c>
      <c r="Q4079" t="str">
        <f t="shared" si="460"/>
        <v>theater</v>
      </c>
      <c r="R4079" t="str">
        <f t="shared" si="461"/>
        <v>plays</v>
      </c>
      <c r="S4079" s="9">
        <f t="shared" si="464"/>
        <v>42695.502245370364</v>
      </c>
      <c r="T4079" s="9">
        <f t="shared" si="465"/>
        <v>42725.502245370364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462"/>
        <v>0</v>
      </c>
      <c r="P4080">
        <f t="shared" si="463"/>
        <v>125</v>
      </c>
      <c r="Q4080" t="str">
        <f t="shared" si="460"/>
        <v>theater</v>
      </c>
      <c r="R4080" t="str">
        <f t="shared" si="461"/>
        <v>plays</v>
      </c>
      <c r="S4080" s="9">
        <f t="shared" si="464"/>
        <v>42732.579189814809</v>
      </c>
      <c r="T4080" s="9">
        <f t="shared" si="465"/>
        <v>42762.579189814809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462"/>
        <v>1.6666666666666668E-3</v>
      </c>
      <c r="P4081">
        <f t="shared" si="463"/>
        <v>1502.5</v>
      </c>
      <c r="Q4081" t="str">
        <f t="shared" si="460"/>
        <v>theater</v>
      </c>
      <c r="R4081" t="str">
        <f t="shared" si="461"/>
        <v>plays</v>
      </c>
      <c r="S4081" s="9">
        <f t="shared" si="464"/>
        <v>42510.730567129627</v>
      </c>
      <c r="T4081" s="9">
        <f t="shared" si="465"/>
        <v>42540.730567129627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462"/>
        <v>0</v>
      </c>
      <c r="P4082">
        <f t="shared" si="463"/>
        <v>1500</v>
      </c>
      <c r="Q4082" t="str">
        <f t="shared" si="460"/>
        <v>theater</v>
      </c>
      <c r="R4082" t="str">
        <f t="shared" si="461"/>
        <v>plays</v>
      </c>
      <c r="S4082" s="9">
        <f t="shared" si="464"/>
        <v>42511.489768518521</v>
      </c>
      <c r="T4082" s="9">
        <f t="shared" si="465"/>
        <v>42535.579166666663</v>
      </c>
    </row>
    <row r="4083" spans="1:20" ht="29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462"/>
        <v>0.15737410071942445</v>
      </c>
      <c r="P4083">
        <f t="shared" si="463"/>
        <v>1287</v>
      </c>
      <c r="Q4083" t="str">
        <f t="shared" ref="Q4083:Q4115" si="466">IF(N4083="theater/plays","theater")</f>
        <v>theater</v>
      </c>
      <c r="R4083" t="str">
        <f t="shared" ref="R4083:R4115" si="467">IF(N4083="theater/plays","plays")</f>
        <v>plays</v>
      </c>
      <c r="S4083" s="9">
        <f t="shared" si="464"/>
        <v>42041.372974537029</v>
      </c>
      <c r="T4083" s="9">
        <f t="shared" si="465"/>
        <v>42071.331307870372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462"/>
        <v>0.02</v>
      </c>
      <c r="P4084">
        <f t="shared" si="463"/>
        <v>76.5</v>
      </c>
      <c r="Q4084" t="str">
        <f t="shared" si="466"/>
        <v>theater</v>
      </c>
      <c r="R4084" t="str">
        <f t="shared" si="467"/>
        <v>plays</v>
      </c>
      <c r="S4084" s="9">
        <f t="shared" si="464"/>
        <v>42306.980937499997</v>
      </c>
      <c r="T4084" s="9">
        <f t="shared" si="465"/>
        <v>42322.749999999993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462"/>
        <v>0.21685714285714286</v>
      </c>
      <c r="P4085">
        <f t="shared" si="463"/>
        <v>2129.5</v>
      </c>
      <c r="Q4085" t="str">
        <f t="shared" si="466"/>
        <v>theater</v>
      </c>
      <c r="R4085" t="str">
        <f t="shared" si="467"/>
        <v>plays</v>
      </c>
      <c r="S4085" s="9">
        <f t="shared" si="464"/>
        <v>42353.553425925922</v>
      </c>
      <c r="T4085" s="9">
        <f t="shared" si="465"/>
        <v>42383.553425925922</v>
      </c>
    </row>
    <row r="4086" spans="1:20" ht="43.5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462"/>
        <v>3.3333333333333335E-3</v>
      </c>
      <c r="P4086">
        <f t="shared" si="463"/>
        <v>1505</v>
      </c>
      <c r="Q4086" t="str">
        <f t="shared" si="466"/>
        <v>theater</v>
      </c>
      <c r="R4086" t="str">
        <f t="shared" si="467"/>
        <v>plays</v>
      </c>
      <c r="S4086" s="9">
        <f t="shared" si="464"/>
        <v>42622.228078703702</v>
      </c>
      <c r="T4086" s="9">
        <f t="shared" si="465"/>
        <v>42652.228078703702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462"/>
        <v>2.8571428571428571E-3</v>
      </c>
      <c r="P4087">
        <f t="shared" si="463"/>
        <v>1755</v>
      </c>
      <c r="Q4087" t="str">
        <f t="shared" si="466"/>
        <v>theater</v>
      </c>
      <c r="R4087" t="str">
        <f t="shared" si="467"/>
        <v>plays</v>
      </c>
      <c r="S4087" s="9">
        <f t="shared" si="464"/>
        <v>42058.395543981482</v>
      </c>
      <c r="T4087" s="9">
        <f t="shared" si="465"/>
        <v>42086.957638888889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462"/>
        <v>4.7E-2</v>
      </c>
      <c r="P4088">
        <f t="shared" si="463"/>
        <v>523.5</v>
      </c>
      <c r="Q4088" t="str">
        <f t="shared" si="466"/>
        <v>theater</v>
      </c>
      <c r="R4088" t="str">
        <f t="shared" si="467"/>
        <v>plays</v>
      </c>
      <c r="S4088" s="9">
        <f t="shared" si="464"/>
        <v>42304.732627314814</v>
      </c>
      <c r="T4088" s="9">
        <f t="shared" si="465"/>
        <v>42328.958333333336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462"/>
        <v>0</v>
      </c>
      <c r="P4089">
        <f t="shared" si="463"/>
        <v>4800</v>
      </c>
      <c r="Q4089" t="str">
        <f t="shared" si="466"/>
        <v>theater</v>
      </c>
      <c r="R4089" t="str">
        <f t="shared" si="467"/>
        <v>plays</v>
      </c>
      <c r="S4089" s="9">
        <f t="shared" si="464"/>
        <v>42538.53456018518</v>
      </c>
      <c r="T4089" s="9">
        <f t="shared" si="465"/>
        <v>42568.53456018518</v>
      </c>
    </row>
    <row r="4090" spans="1:20" ht="29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462"/>
        <v>0.108</v>
      </c>
      <c r="P4090">
        <f t="shared" si="463"/>
        <v>1108</v>
      </c>
      <c r="Q4090" t="str">
        <f t="shared" si="466"/>
        <v>theater</v>
      </c>
      <c r="R4090" t="str">
        <f t="shared" si="467"/>
        <v>plays</v>
      </c>
      <c r="S4090" s="9">
        <f t="shared" si="464"/>
        <v>41990.40421296296</v>
      </c>
      <c r="T4090" s="9">
        <f t="shared" si="465"/>
        <v>42020.226388888885</v>
      </c>
    </row>
    <row r="4091" spans="1:20" ht="43.5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462"/>
        <v>4.8000000000000001E-2</v>
      </c>
      <c r="P4091">
        <f t="shared" si="463"/>
        <v>2620</v>
      </c>
      <c r="Q4091" t="str">
        <f t="shared" si="466"/>
        <v>theater</v>
      </c>
      <c r="R4091" t="str">
        <f t="shared" si="467"/>
        <v>plays</v>
      </c>
      <c r="S4091" s="9">
        <f t="shared" si="464"/>
        <v>42122.524166666662</v>
      </c>
      <c r="T4091" s="9">
        <f t="shared" si="465"/>
        <v>42155.524305555555</v>
      </c>
    </row>
    <row r="4092" spans="1:20" ht="29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462"/>
        <v>3.2000000000000001E-2</v>
      </c>
      <c r="P4092">
        <f t="shared" si="463"/>
        <v>516</v>
      </c>
      <c r="Q4092" t="str">
        <f t="shared" si="466"/>
        <v>theater</v>
      </c>
      <c r="R4092" t="str">
        <f t="shared" si="467"/>
        <v>plays</v>
      </c>
      <c r="S4092" s="9">
        <f t="shared" si="464"/>
        <v>42209.464548611104</v>
      </c>
      <c r="T4092" s="9">
        <f t="shared" si="465"/>
        <v>42223.416666666664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462"/>
        <v>0.1275</v>
      </c>
      <c r="P4093">
        <f t="shared" si="463"/>
        <v>902</v>
      </c>
      <c r="Q4093" t="str">
        <f t="shared" si="466"/>
        <v>theater</v>
      </c>
      <c r="R4093" t="str">
        <f t="shared" si="467"/>
        <v>plays</v>
      </c>
      <c r="S4093" s="9">
        <f t="shared" si="464"/>
        <v>41990.298043981478</v>
      </c>
      <c r="T4093" s="9">
        <f t="shared" si="465"/>
        <v>42020.298043981478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462"/>
        <v>1.8181818181818181E-4</v>
      </c>
      <c r="P4094">
        <f t="shared" si="463"/>
        <v>55010</v>
      </c>
      <c r="Q4094" t="str">
        <f t="shared" si="466"/>
        <v>theater</v>
      </c>
      <c r="R4094" t="str">
        <f t="shared" si="467"/>
        <v>plays</v>
      </c>
      <c r="S4094" s="9">
        <f t="shared" si="464"/>
        <v>42038.986655092587</v>
      </c>
      <c r="T4094" s="9">
        <f t="shared" si="465"/>
        <v>42098.944988425923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462"/>
        <v>2.4E-2</v>
      </c>
      <c r="P4095">
        <f t="shared" si="463"/>
        <v>1280</v>
      </c>
      <c r="Q4095" t="str">
        <f t="shared" si="466"/>
        <v>theater</v>
      </c>
      <c r="R4095" t="str">
        <f t="shared" si="467"/>
        <v>plays</v>
      </c>
      <c r="S4095" s="9">
        <f t="shared" si="464"/>
        <v>42178.607557870368</v>
      </c>
      <c r="T4095" s="9">
        <f t="shared" si="465"/>
        <v>42238.607557870368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462"/>
        <v>0.36499999999999999</v>
      </c>
      <c r="P4096">
        <f t="shared" si="463"/>
        <v>1365</v>
      </c>
      <c r="Q4096" t="str">
        <f t="shared" si="466"/>
        <v>theater</v>
      </c>
      <c r="R4096" t="str">
        <f t="shared" si="467"/>
        <v>plays</v>
      </c>
      <c r="S4096" s="9">
        <f t="shared" si="464"/>
        <v>41889.878472222219</v>
      </c>
      <c r="T4096" s="9">
        <f t="shared" si="465"/>
        <v>41933.999305555553</v>
      </c>
    </row>
    <row r="4097" spans="1:20" ht="29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462"/>
        <v>2.6666666666666668E-2</v>
      </c>
      <c r="P4097">
        <f t="shared" si="463"/>
        <v>15400</v>
      </c>
      <c r="Q4097" t="str">
        <f t="shared" si="466"/>
        <v>theater</v>
      </c>
      <c r="R4097" t="str">
        <f t="shared" si="467"/>
        <v>plays</v>
      </c>
      <c r="S4097" s="9">
        <f t="shared" si="464"/>
        <v>42692.823495370372</v>
      </c>
      <c r="T4097" s="9">
        <f t="shared" si="465"/>
        <v>42722.823495370372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462"/>
        <v>0.11428571428571428</v>
      </c>
      <c r="P4098">
        <f t="shared" si="463"/>
        <v>1950</v>
      </c>
      <c r="Q4098" t="str">
        <f t="shared" si="466"/>
        <v>theater</v>
      </c>
      <c r="R4098" t="str">
        <f t="shared" si="467"/>
        <v>plays</v>
      </c>
      <c r="S4098" s="9">
        <f t="shared" si="464"/>
        <v>42750.321979166663</v>
      </c>
      <c r="T4098" s="9">
        <f t="shared" si="465"/>
        <v>42794.160416666666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468">E4099/D4099</f>
        <v>0</v>
      </c>
      <c r="P4099">
        <f t="shared" ref="P4099:P4115" si="469">AVERAGE(D4099:E4099)</f>
        <v>5000</v>
      </c>
      <c r="Q4099" t="str">
        <f t="shared" si="466"/>
        <v>theater</v>
      </c>
      <c r="R4099" t="str">
        <f t="shared" si="467"/>
        <v>plays</v>
      </c>
      <c r="S4099" s="9">
        <f t="shared" ref="S4099:S4115" si="470">J4099/86400+25569+(-5/24)</f>
        <v>42344.616168981483</v>
      </c>
      <c r="T4099" s="9">
        <f t="shared" si="465"/>
        <v>42400.788194444445</v>
      </c>
    </row>
    <row r="4100" spans="1:20" ht="29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468"/>
        <v>0</v>
      </c>
      <c r="P4100">
        <f t="shared" si="469"/>
        <v>37500</v>
      </c>
      <c r="Q4100" t="str">
        <f t="shared" si="466"/>
        <v>theater</v>
      </c>
      <c r="R4100" t="str">
        <f t="shared" si="467"/>
        <v>plays</v>
      </c>
      <c r="S4100" s="9">
        <f t="shared" si="470"/>
        <v>42495.51385416666</v>
      </c>
      <c r="T4100" s="9">
        <f t="shared" ref="T4100:T4115" si="471">I4100/86400+25569+(-5/24)</f>
        <v>42525.51385416666</v>
      </c>
    </row>
    <row r="4101" spans="1:20" ht="43.5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468"/>
        <v>1.1111111111111112E-2</v>
      </c>
      <c r="P4101">
        <f t="shared" si="469"/>
        <v>2275</v>
      </c>
      <c r="Q4101" t="str">
        <f t="shared" si="466"/>
        <v>theater</v>
      </c>
      <c r="R4101" t="str">
        <f t="shared" si="467"/>
        <v>plays</v>
      </c>
      <c r="S4101" s="9">
        <f t="shared" si="470"/>
        <v>42570.642048611109</v>
      </c>
      <c r="T4101" s="9">
        <f t="shared" si="471"/>
        <v>42615.642048611109</v>
      </c>
    </row>
    <row r="4102" spans="1:20" ht="29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468"/>
        <v>0</v>
      </c>
      <c r="P4102">
        <f t="shared" si="469"/>
        <v>135</v>
      </c>
      <c r="Q4102" t="str">
        <f t="shared" si="466"/>
        <v>theater</v>
      </c>
      <c r="R4102" t="str">
        <f t="shared" si="467"/>
        <v>plays</v>
      </c>
      <c r="S4102" s="9">
        <f t="shared" si="470"/>
        <v>41926.916550925926</v>
      </c>
      <c r="T4102" s="9">
        <f t="shared" si="471"/>
        <v>41936.916550925926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468"/>
        <v>0</v>
      </c>
      <c r="P4103">
        <f t="shared" si="469"/>
        <v>300</v>
      </c>
      <c r="Q4103" t="str">
        <f t="shared" si="466"/>
        <v>theater</v>
      </c>
      <c r="R4103" t="str">
        <f t="shared" si="467"/>
        <v>plays</v>
      </c>
      <c r="S4103" s="9">
        <f t="shared" si="470"/>
        <v>42730.695393518516</v>
      </c>
      <c r="T4103" s="9">
        <f t="shared" si="471"/>
        <v>42760.695393518516</v>
      </c>
    </row>
    <row r="4104" spans="1:20" ht="29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468"/>
        <v>0.27400000000000002</v>
      </c>
      <c r="P4104">
        <f t="shared" si="469"/>
        <v>318.5</v>
      </c>
      <c r="Q4104" t="str">
        <f t="shared" si="466"/>
        <v>theater</v>
      </c>
      <c r="R4104" t="str">
        <f t="shared" si="467"/>
        <v>plays</v>
      </c>
      <c r="S4104" s="9">
        <f t="shared" si="470"/>
        <v>42475.639733796292</v>
      </c>
      <c r="T4104" s="9">
        <f t="shared" si="471"/>
        <v>42505.639733796292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468"/>
        <v>0.1</v>
      </c>
      <c r="P4105">
        <f t="shared" si="469"/>
        <v>550</v>
      </c>
      <c r="Q4105" t="str">
        <f t="shared" si="466"/>
        <v>theater</v>
      </c>
      <c r="R4105" t="str">
        <f t="shared" si="467"/>
        <v>plays</v>
      </c>
      <c r="S4105" s="9">
        <f t="shared" si="470"/>
        <v>42188.624606481484</v>
      </c>
      <c r="T4105" s="9">
        <f t="shared" si="471"/>
        <v>42242.563888888886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468"/>
        <v>0.21366666666666667</v>
      </c>
      <c r="P4106">
        <f t="shared" si="469"/>
        <v>1820.5</v>
      </c>
      <c r="Q4106" t="str">
        <f t="shared" si="466"/>
        <v>theater</v>
      </c>
      <c r="R4106" t="str">
        <f t="shared" si="467"/>
        <v>plays</v>
      </c>
      <c r="S4106" s="9">
        <f t="shared" si="470"/>
        <v>42640.069837962961</v>
      </c>
      <c r="T4106" s="9">
        <f t="shared" si="471"/>
        <v>42670.069837962961</v>
      </c>
    </row>
    <row r="4107" spans="1:20" ht="43.5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468"/>
        <v>6.9696969696969702E-2</v>
      </c>
      <c r="P4107">
        <f t="shared" si="469"/>
        <v>17650</v>
      </c>
      <c r="Q4107" t="str">
        <f t="shared" si="466"/>
        <v>theater</v>
      </c>
      <c r="R4107" t="str">
        <f t="shared" si="467"/>
        <v>plays</v>
      </c>
      <c r="S4107" s="9">
        <f t="shared" si="470"/>
        <v>42696.802187499998</v>
      </c>
      <c r="T4107" s="9">
        <f t="shared" si="471"/>
        <v>42729.802187499998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468"/>
        <v>0.70599999999999996</v>
      </c>
      <c r="P4108">
        <f t="shared" si="469"/>
        <v>4265</v>
      </c>
      <c r="Q4108" t="str">
        <f t="shared" si="466"/>
        <v>theater</v>
      </c>
      <c r="R4108" t="str">
        <f t="shared" si="467"/>
        <v>plays</v>
      </c>
      <c r="S4108" s="9">
        <f t="shared" si="470"/>
        <v>42052.841041666667</v>
      </c>
      <c r="T4108" s="9">
        <f t="shared" si="471"/>
        <v>42095.833333333336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468"/>
        <v>2.0500000000000001E-2</v>
      </c>
      <c r="P4109">
        <f t="shared" si="469"/>
        <v>1020.5</v>
      </c>
      <c r="Q4109" t="str">
        <f t="shared" si="466"/>
        <v>theater</v>
      </c>
      <c r="R4109" t="str">
        <f t="shared" si="467"/>
        <v>plays</v>
      </c>
      <c r="S4109" s="9">
        <f t="shared" si="470"/>
        <v>41883.708344907405</v>
      </c>
      <c r="T4109" s="9">
        <f t="shared" si="471"/>
        <v>41906.708344907405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468"/>
        <v>1.9666666666666666E-2</v>
      </c>
      <c r="P4110">
        <f t="shared" si="469"/>
        <v>1529.5</v>
      </c>
      <c r="Q4110" t="str">
        <f t="shared" si="466"/>
        <v>theater</v>
      </c>
      <c r="R4110" t="str">
        <f t="shared" si="467"/>
        <v>plays</v>
      </c>
      <c r="S4110" s="9">
        <f t="shared" si="470"/>
        <v>42766.823344907403</v>
      </c>
      <c r="T4110" s="9">
        <f t="shared" si="471"/>
        <v>42796.999999999993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468"/>
        <v>0</v>
      </c>
      <c r="P4111">
        <f t="shared" si="469"/>
        <v>250</v>
      </c>
      <c r="Q4111" t="str">
        <f t="shared" si="466"/>
        <v>theater</v>
      </c>
      <c r="R4111" t="str">
        <f t="shared" si="467"/>
        <v>plays</v>
      </c>
      <c r="S4111" s="9">
        <f t="shared" si="470"/>
        <v>42307.331064814811</v>
      </c>
      <c r="T4111" s="9">
        <f t="shared" si="471"/>
        <v>42337.372731481482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468"/>
        <v>0.28666666666666668</v>
      </c>
      <c r="P4112">
        <f t="shared" si="469"/>
        <v>193</v>
      </c>
      <c r="Q4112" t="str">
        <f t="shared" si="466"/>
        <v>theater</v>
      </c>
      <c r="R4112" t="str">
        <f t="shared" si="467"/>
        <v>plays</v>
      </c>
      <c r="S4112" s="9">
        <f t="shared" si="470"/>
        <v>42512.418414351851</v>
      </c>
      <c r="T4112" s="9">
        <f t="shared" si="471"/>
        <v>42572.418414351851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468"/>
        <v>3.1333333333333331E-2</v>
      </c>
      <c r="P4113">
        <f t="shared" si="469"/>
        <v>1547</v>
      </c>
      <c r="Q4113" t="str">
        <f t="shared" si="466"/>
        <v>theater</v>
      </c>
      <c r="R4113" t="str">
        <f t="shared" si="467"/>
        <v>plays</v>
      </c>
      <c r="S4113" s="9">
        <f t="shared" si="470"/>
        <v>42028.927546296291</v>
      </c>
      <c r="T4113" s="9">
        <f t="shared" si="471"/>
        <v>42058.927546296291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468"/>
        <v>4.0000000000000002E-4</v>
      </c>
      <c r="P4114">
        <f t="shared" si="469"/>
        <v>1250.5</v>
      </c>
      <c r="Q4114" t="str">
        <f t="shared" si="466"/>
        <v>theater</v>
      </c>
      <c r="R4114" t="str">
        <f t="shared" si="467"/>
        <v>plays</v>
      </c>
      <c r="S4114" s="9">
        <f t="shared" si="470"/>
        <v>42400.738263888888</v>
      </c>
      <c r="T4114" s="9">
        <f t="shared" si="471"/>
        <v>42427.791666666664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468"/>
        <v>2E-3</v>
      </c>
      <c r="P4115">
        <f t="shared" si="469"/>
        <v>751.5</v>
      </c>
      <c r="Q4115" t="str">
        <f t="shared" si="466"/>
        <v>theater</v>
      </c>
      <c r="R4115" t="str">
        <f t="shared" si="467"/>
        <v>plays</v>
      </c>
      <c r="S4115" s="9">
        <f t="shared" si="470"/>
        <v>42358.364849537036</v>
      </c>
      <c r="T4115" s="9">
        <f t="shared" si="471"/>
        <v>42377.06527777778</v>
      </c>
    </row>
  </sheetData>
  <conditionalFormatting sqref="F2:F4115">
    <cfRule type="containsText" dxfId="7" priority="12" operator="containsText" text="successful">
      <formula>NOT(ISERROR(SEARCH("successful",F2)))</formula>
    </cfRule>
    <cfRule type="containsText" dxfId="6" priority="10" operator="containsText" text="failed">
      <formula>NOT(ISERROR(SEARCH("failed",F2)))</formula>
    </cfRule>
    <cfRule type="containsText" dxfId="5" priority="9" operator="containsText" text="failed">
      <formula>NOT(ISERROR(SEARCH("failed",F2)))</formula>
    </cfRule>
    <cfRule type="containsText" dxfId="4" priority="8" operator="containsText" text="cancel">
      <formula>NOT(ISERROR(SEARCH("cancel",F2)))</formula>
    </cfRule>
    <cfRule type="containsText" dxfId="3" priority="7" operator="containsText" text="live">
      <formula>NOT(ISERROR(SEARCH("live",F2)))</formula>
    </cfRule>
  </conditionalFormatting>
  <conditionalFormatting sqref="F3843:F4115">
    <cfRule type="containsText" dxfId="2" priority="11" operator="containsText" text="failed">
      <formula>NOT(ISERROR(SEARCH("failed",F3843)))</formula>
    </cfRule>
  </conditionalFormatting>
  <conditionalFormatting sqref="O2:O4115">
    <cfRule type="colorScale" priority="4">
      <colorScale>
        <cfvo type="num" val="0"/>
        <cfvo type="num" val="100"/>
        <cfvo type="num" val="200"/>
        <color rgb="FFFF0000"/>
        <color theme="9" tint="-0.249977111117893"/>
        <color rgb="FF0070C0"/>
      </colorScale>
    </cfRule>
    <cfRule type="colorScale" priority="3">
      <colorScale>
        <cfvo type="min"/>
        <cfvo type="percentile" val="50"/>
        <cfvo type="max"/>
        <color rgb="FFFF0000"/>
        <color rgb="FF92D050"/>
        <color rgb="FF0070C0"/>
      </colorScale>
    </cfRule>
  </conditionalFormatting>
  <conditionalFormatting sqref="Q2:Q4125">
    <cfRule type="containsText" dxfId="1" priority="2" operator="containsText" text="if=($N$2,&quot;film &amp; video&quot;">
      <formula>NOT(ISERROR(SEARCH("if=($N$2,""film &amp; video""",Q2)))</formula>
    </cfRule>
  </conditionalFormatting>
  <conditionalFormatting sqref="Q2:Q4125">
    <cfRule type="cellIs" dxfId="0" priority="1" operator="equal">
      <formula>IF($N$2,"fim &amp; video")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96D02-4DFE-44DD-A771-2C39AE24A362}">
  <sheetPr codeName="Sheet5"/>
  <dimension ref="B1:I13"/>
  <sheetViews>
    <sheetView topLeftCell="A11" workbookViewId="0">
      <selection activeCell="I17" sqref="I17"/>
    </sheetView>
  </sheetViews>
  <sheetFormatPr defaultRowHeight="14.5" x14ac:dyDescent="0.35"/>
  <cols>
    <col min="2" max="2" width="28.1796875" bestFit="1" customWidth="1"/>
    <col min="3" max="3" width="18.1796875" bestFit="1" customWidth="1"/>
    <col min="4" max="4" width="14.26953125" bestFit="1" customWidth="1"/>
    <col min="5" max="5" width="17" bestFit="1" customWidth="1"/>
    <col min="6" max="6" width="13.1796875" bestFit="1" customWidth="1"/>
    <col min="7" max="7" width="20.81640625" bestFit="1" customWidth="1"/>
    <col min="8" max="8" width="17" bestFit="1" customWidth="1"/>
    <col min="9" max="9" width="19.81640625" bestFit="1" customWidth="1"/>
  </cols>
  <sheetData>
    <row r="1" spans="2:9" x14ac:dyDescent="0.35"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  <c r="I1" t="s">
        <v>8389</v>
      </c>
    </row>
    <row r="2" spans="2:9" x14ac:dyDescent="0.35">
      <c r="B2" t="s">
        <v>8390</v>
      </c>
      <c r="C2">
        <f>COUNTIFS(Sheet1!F2:F4115,"SUCCESSFUL",Sheet1!D2:D4115,"&lt;1000")</f>
        <v>322</v>
      </c>
      <c r="D2">
        <f>COUNTIFS(Sheet1!F2:F4115,"FAILED",Sheet1!D2:D4115,"&lt;1000")</f>
        <v>113</v>
      </c>
      <c r="E2">
        <f>COUNTIFS(Sheet1!F2:F4115,"CANCELED",Sheet1!D2:D4115,"&lt;1000")</f>
        <v>18</v>
      </c>
      <c r="F2">
        <f>SUM(C2:E2)</f>
        <v>453</v>
      </c>
      <c r="G2" s="5">
        <f>(C2/F2)</f>
        <v>0.71081677704194257</v>
      </c>
      <c r="H2" s="5">
        <f>(D2/F2)</f>
        <v>0.24944812362030905</v>
      </c>
      <c r="I2" s="5">
        <f>(E2/F2)</f>
        <v>3.9735099337748346E-2</v>
      </c>
    </row>
    <row r="3" spans="2:9" x14ac:dyDescent="0.35">
      <c r="B3" t="s">
        <v>8391</v>
      </c>
      <c r="C3">
        <f>COUNTIFS(Sheet1!F2:F4115, "successful",Sheet1!D2:D4115,"&gt;=1000",Sheet1!D2:D4115,"&lt;5000")</f>
        <v>932</v>
      </c>
      <c r="D3">
        <f>COUNTIFS(Sheet1!F2:F4115, "failed",Sheet1!D2:D4115, "&gt;=1000",Sheet1!D2:D4115, "&lt;5000")</f>
        <v>420</v>
      </c>
      <c r="E3">
        <f>COUNTIFS(Sheet1!F2:F4115, "canceled",Sheet1!D2:D4115,"&gt;=1000",Sheet1!D2:D4115,"&lt;5000")</f>
        <v>60</v>
      </c>
      <c r="F3">
        <f>SUM(C3:E3)</f>
        <v>1412</v>
      </c>
      <c r="G3" s="5">
        <f t="shared" ref="G3:G13" si="0">(C3/F3)</f>
        <v>0.66005665722379603</v>
      </c>
      <c r="H3" s="5">
        <f t="shared" ref="H3:H13" si="1">(D3/F3)</f>
        <v>0.29745042492917845</v>
      </c>
      <c r="I3" s="5">
        <f t="shared" ref="I3:I13" si="2">(E3/F3)</f>
        <v>4.2492917847025496E-2</v>
      </c>
    </row>
    <row r="4" spans="2:9" x14ac:dyDescent="0.35">
      <c r="B4" t="s">
        <v>8392</v>
      </c>
      <c r="C4">
        <f>COUNTIFS(Sheet1!F2:F4115, "successful",Sheet1!D2:D4115,"&gt;=5000",Sheet1!D2:D4115,"&lt;10000")</f>
        <v>381</v>
      </c>
      <c r="D4">
        <f>COUNTIFS(Sheet1!F2:F4115, "failed",Sheet1!D2:D4115,"&gt;=5000",Sheet1!D2:D4115,"&lt;10000")</f>
        <v>283</v>
      </c>
      <c r="E4">
        <f>COUNTIFS(Sheet1!F2:F4115, "canceled",Sheet1!D2:D4115,"&gt;=5000",Sheet1!D2:D4115,"&lt;10000")</f>
        <v>52</v>
      </c>
      <c r="F4">
        <f>SUM(C4:E4)</f>
        <v>716</v>
      </c>
      <c r="G4" s="5">
        <f t="shared" si="0"/>
        <v>0.53212290502793291</v>
      </c>
      <c r="H4" s="5">
        <f t="shared" si="1"/>
        <v>0.39525139664804471</v>
      </c>
      <c r="I4" s="5">
        <f t="shared" si="2"/>
        <v>7.2625698324022353E-2</v>
      </c>
    </row>
    <row r="5" spans="2:9" x14ac:dyDescent="0.35">
      <c r="B5" t="s">
        <v>8393</v>
      </c>
      <c r="C5">
        <f>COUNTIFS(Sheet1!F2:F4115, "successful",Sheet1!D2:D4115,"&gt;=10000",Sheet1!D2:D4115,"&lt;15000")</f>
        <v>168</v>
      </c>
      <c r="D5">
        <f>COUNTIFS(Sheet1!F2:F4115, "failed",Sheet1!D2:D4115,"&gt;=10000",Sheet1!D2:D4115,"&lt;15000")</f>
        <v>144</v>
      </c>
      <c r="E5">
        <f>COUNTIFS(Sheet1!F2:F4115, "canceled",Sheet1!D2:D4115,"&gt;=10000",Sheet1!D2:D4115,"&lt;15000")</f>
        <v>40</v>
      </c>
      <c r="F5">
        <f>SUM(C5:E5)</f>
        <v>352</v>
      </c>
      <c r="G5" s="5">
        <f t="shared" si="0"/>
        <v>0.47727272727272729</v>
      </c>
      <c r="H5" s="5">
        <f t="shared" si="1"/>
        <v>0.40909090909090912</v>
      </c>
      <c r="I5" s="5">
        <f t="shared" si="2"/>
        <v>0.11363636363636363</v>
      </c>
    </row>
    <row r="6" spans="2:9" x14ac:dyDescent="0.35">
      <c r="B6" t="s">
        <v>8394</v>
      </c>
      <c r="C6">
        <f>COUNTIFS(Sheet1!F2:F4115, "successful",Sheet1!D2:D4115,"&gt;=15000",Sheet1!D2:D4115,"&lt;20000")</f>
        <v>94</v>
      </c>
      <c r="D6">
        <f>COUNTIFS(Sheet1!F2:F4115, "failed",Sheet1!D2:D4115,"&gt;=15000",Sheet1!D2:D4115,"&lt;20000")</f>
        <v>90</v>
      </c>
      <c r="E6">
        <f>COUNTIFS(Sheet1!F2:F4115, "canceled",Sheet1!D2:D4115,"&gt;=15000",Sheet1!D2:D4115,"&lt;20000")</f>
        <v>17</v>
      </c>
      <c r="F6">
        <f>SUM(C6:E6)</f>
        <v>201</v>
      </c>
      <c r="G6" s="5">
        <f t="shared" si="0"/>
        <v>0.46766169154228854</v>
      </c>
      <c r="H6" s="5">
        <f t="shared" si="1"/>
        <v>0.44776119402985076</v>
      </c>
      <c r="I6" s="5">
        <f t="shared" si="2"/>
        <v>8.45771144278607E-2</v>
      </c>
    </row>
    <row r="7" spans="2:9" x14ac:dyDescent="0.35">
      <c r="B7" t="s">
        <v>8395</v>
      </c>
      <c r="C7">
        <f>COUNTIFS(Sheet1!F2:F4115, "successful",Sheet1!D2:D4115,"&gt;=20000",Sheet1!D2:D4115,"&lt;25000")</f>
        <v>62</v>
      </c>
      <c r="D7">
        <f>COUNTIFS(Sheet1!F2:F4115, "failed",Sheet1!D2:D4115,"&gt;=20000",Sheet1!D2:D4115,"&lt;25000")</f>
        <v>72</v>
      </c>
      <c r="E7">
        <f>COUNTIFS(Sheet1!F2:F4115, "canceled",Sheet1!D2:D4115,"&gt;=20000",Sheet1!D2:D4115,"&lt;25000")</f>
        <v>14</v>
      </c>
      <c r="F7">
        <f>SUM(C7:E7)</f>
        <v>148</v>
      </c>
      <c r="G7" s="5">
        <f t="shared" si="0"/>
        <v>0.41891891891891891</v>
      </c>
      <c r="H7" s="5">
        <f t="shared" si="1"/>
        <v>0.48648648648648651</v>
      </c>
      <c r="I7" s="5">
        <f t="shared" si="2"/>
        <v>9.45945945945946E-2</v>
      </c>
    </row>
    <row r="8" spans="2:9" x14ac:dyDescent="0.35">
      <c r="B8" t="s">
        <v>8396</v>
      </c>
      <c r="C8">
        <f>COUNTIFS(Sheet1!F2:F4115, "successful",Sheet1!D2:D4115,"&gt;=25000",Sheet1!D2:D4115,"&lt;30000")</f>
        <v>55</v>
      </c>
      <c r="D8">
        <f>COUNTIFS(Sheet1!F2:F4115, "failed",Sheet1!D2:D4115,"&gt;=25000",Sheet1!D2:D4115,"&lt;30000")</f>
        <v>64</v>
      </c>
      <c r="E8">
        <f>COUNTIFS(Sheet1!F2:F4115, "canceled",Sheet1!D2:D4115,"&gt;=25000",Sheet1!D2:D4115,"&lt;30000")</f>
        <v>18</v>
      </c>
      <c r="F8">
        <f>SUM(C8:E8)</f>
        <v>137</v>
      </c>
      <c r="G8" s="5">
        <f t="shared" si="0"/>
        <v>0.40145985401459855</v>
      </c>
      <c r="H8" s="5">
        <f t="shared" si="1"/>
        <v>0.46715328467153283</v>
      </c>
      <c r="I8" s="5">
        <f t="shared" si="2"/>
        <v>0.13138686131386862</v>
      </c>
    </row>
    <row r="9" spans="2:9" x14ac:dyDescent="0.35">
      <c r="B9" t="s">
        <v>8397</v>
      </c>
      <c r="C9">
        <f>COUNTIFS(Sheet1!F2:F4115, "successful",Sheet1!D2:D4115,"&gt;=30000",Sheet1!D2:D4115,"&lt;35000")</f>
        <v>32</v>
      </c>
      <c r="D9">
        <f>COUNTIFS(Sheet1!F2:F4115, "failed",Sheet1!D2:D4115,"&gt;=30000",Sheet1!D2:D4115,"&lt;35000")</f>
        <v>37</v>
      </c>
      <c r="E9">
        <f>COUNTIFS(Sheet1!F2:F4115, "canceled",Sheet1!D2:D4115,"&gt;=30000",Sheet1!D2:D4115,"&lt;35000")</f>
        <v>13</v>
      </c>
      <c r="F9">
        <f>SUM(C9:E9)</f>
        <v>82</v>
      </c>
      <c r="G9" s="5">
        <f t="shared" si="0"/>
        <v>0.3902439024390244</v>
      </c>
      <c r="H9" s="5">
        <f t="shared" si="1"/>
        <v>0.45121951219512196</v>
      </c>
      <c r="I9" s="5">
        <f t="shared" si="2"/>
        <v>0.15853658536585366</v>
      </c>
    </row>
    <row r="10" spans="2:9" x14ac:dyDescent="0.35">
      <c r="B10" t="s">
        <v>8398</v>
      </c>
      <c r="C10">
        <f>COUNTIFS(Sheet1!F2:F4115,"successful",Sheet1!D2:D4115,"&gt;=35000",Sheet1!D2:D4115,"&lt;40000")</f>
        <v>26</v>
      </c>
      <c r="D10">
        <f>COUNTIFS(Sheet1!F2:F4115,"failed",Sheet1!D2:D4115,"&gt;=35000",Sheet1!D2:D4115,"&lt;40000")</f>
        <v>22</v>
      </c>
      <c r="E10">
        <f>COUNTIFS(Sheet1!F2:F4115,"canceled",Sheet1!D2:D4115,"&gt;=35000",Sheet1!D2:D4115,"&lt;40000")</f>
        <v>7</v>
      </c>
      <c r="F10">
        <f>SUM(C10:E10)</f>
        <v>55</v>
      </c>
      <c r="G10" s="5">
        <f t="shared" si="0"/>
        <v>0.47272727272727272</v>
      </c>
      <c r="H10" s="5">
        <f t="shared" si="1"/>
        <v>0.4</v>
      </c>
      <c r="I10" s="5">
        <f t="shared" si="2"/>
        <v>0.12727272727272726</v>
      </c>
    </row>
    <row r="11" spans="2:9" x14ac:dyDescent="0.35">
      <c r="B11" t="s">
        <v>8399</v>
      </c>
      <c r="C11">
        <f>COUNTIFS(Sheet1!F2:F4115,"successful",Sheet1!D2:D4115,"&gt;=40000",Sheet1!D2:D4115,"&lt;45000")</f>
        <v>21</v>
      </c>
      <c r="D11">
        <f>COUNTIFS(Sheet1!F2:F4115,"failed",Sheet1!D2:D4115,"&gt;=40000",Sheet1!D2:D4115,"&lt;45000")</f>
        <v>16</v>
      </c>
      <c r="E11">
        <f>COUNTIFS(Sheet1!F2:F4115,"canceled",Sheet1!D2:D4115,"&gt;=40000",Sheet1!D2:D4115,"&lt;45000")</f>
        <v>6</v>
      </c>
      <c r="F11">
        <f>SUM(C11:E11)</f>
        <v>43</v>
      </c>
      <c r="G11" s="5">
        <f t="shared" si="0"/>
        <v>0.48837209302325579</v>
      </c>
      <c r="H11" s="5">
        <f t="shared" si="1"/>
        <v>0.37209302325581395</v>
      </c>
      <c r="I11" s="5">
        <f t="shared" si="2"/>
        <v>0.13953488372093023</v>
      </c>
    </row>
    <row r="12" spans="2:9" x14ac:dyDescent="0.35">
      <c r="B12" t="s">
        <v>8400</v>
      </c>
      <c r="C12">
        <f>COUNTIFS(Sheet1!F2:F4115,"successful",Sheet1!D2:D4115,"&gt;=45000",Sheet1!D2:D4115,"&lt;50000")</f>
        <v>6</v>
      </c>
      <c r="D12">
        <f>COUNTIFS(Sheet1!F2:F4115,"failed",Sheet1!D2:D4115,"&gt;=45000",Sheet1!D2:D4115,"&lt;50000")</f>
        <v>11</v>
      </c>
      <c r="E12">
        <f>COUNTIFS(Sheet1!F2:F4115,"canceled",Sheet1!D2:D4115,"&gt;=45000",Sheet1!D2:D4115,"&lt;50000")</f>
        <v>4</v>
      </c>
      <c r="F12">
        <f>SUM(C12:E12)</f>
        <v>21</v>
      </c>
      <c r="G12" s="5">
        <f t="shared" si="0"/>
        <v>0.2857142857142857</v>
      </c>
      <c r="H12" s="5">
        <f t="shared" si="1"/>
        <v>0.52380952380952384</v>
      </c>
      <c r="I12" s="5">
        <f t="shared" si="2"/>
        <v>0.19047619047619047</v>
      </c>
    </row>
    <row r="13" spans="2:9" x14ac:dyDescent="0.35">
      <c r="B13" t="s">
        <v>8401</v>
      </c>
      <c r="C13">
        <f>COUNTIFS(Sheet1!F2:F4115,"SUCCESSFUL",Sheet1!D2:D4115,"&gt;=50000")</f>
        <v>86</v>
      </c>
      <c r="D13">
        <f>COUNTIFS(Sheet1!F2:F4115,"FAILED",Sheet1!D2:D4115,"&gt;=50000")</f>
        <v>258</v>
      </c>
      <c r="E13">
        <f>COUNTIFS(Sheet1!F2:F4115,"CANCELED",Sheet1!D2:D4115,"&gt;=50000")</f>
        <v>100</v>
      </c>
      <c r="F13">
        <f>SUM(C13:E13)</f>
        <v>444</v>
      </c>
      <c r="G13" s="5">
        <f t="shared" si="0"/>
        <v>0.19369369369369369</v>
      </c>
      <c r="H13" s="5">
        <f t="shared" si="1"/>
        <v>0.58108108108108103</v>
      </c>
      <c r="I13" s="5">
        <f t="shared" si="2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Unukpo, Edward</cp:lastModifiedBy>
  <cp:lastPrinted>2019-05-30T22:23:17Z</cp:lastPrinted>
  <dcterms:created xsi:type="dcterms:W3CDTF">2017-04-20T15:17:24Z</dcterms:created>
  <dcterms:modified xsi:type="dcterms:W3CDTF">2019-06-08T22:15:01Z</dcterms:modified>
</cp:coreProperties>
</file>