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wnloads\"/>
    </mc:Choice>
  </mc:AlternateContent>
  <xr:revisionPtr revIDLastSave="0" documentId="13_ncr:1_{E49CFDD3-E866-46A9-A138-77706D6F011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2" sheetId="3" r:id="rId1"/>
    <sheet name="Sheet3" sheetId="4" r:id="rId2"/>
    <sheet name="Sheet4" sheetId="5" r:id="rId3"/>
    <sheet name="Sheet1" sheetId="2" r:id="rId4"/>
    <sheet name="Crowdfunding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H6" i="5"/>
  <c r="H5" i="5"/>
  <c r="H4" i="5"/>
  <c r="H3" i="5"/>
  <c r="H2" i="5"/>
  <c r="G7" i="5"/>
  <c r="G6" i="5"/>
  <c r="G5" i="5"/>
  <c r="G4" i="5"/>
  <c r="G3" i="5"/>
  <c r="G2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C1002" i="5"/>
  <c r="A1003" i="5"/>
  <c r="C1003" i="5"/>
  <c r="A1004" i="5"/>
  <c r="C1004" i="5"/>
  <c r="A1005" i="5"/>
  <c r="C1005" i="5"/>
  <c r="A1006" i="5"/>
  <c r="C1006" i="5"/>
  <c r="A1007" i="5"/>
  <c r="C1007" i="5"/>
  <c r="A1008" i="5"/>
  <c r="C1008" i="5"/>
  <c r="A1009" i="5"/>
  <c r="C1009" i="5"/>
  <c r="D3" i="5"/>
  <c r="C3" i="5"/>
  <c r="B3" i="5"/>
  <c r="A3" i="5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2" i="4"/>
  <c r="B11" i="4"/>
  <c r="C13" i="4"/>
  <c r="C11" i="4"/>
  <c r="C10" i="4"/>
  <c r="C9" i="4"/>
  <c r="C8" i="4"/>
  <c r="C7" i="4"/>
  <c r="C6" i="4"/>
  <c r="C5" i="4"/>
  <c r="C4" i="4"/>
  <c r="C3" i="4"/>
  <c r="C2" i="4"/>
  <c r="B13" i="4"/>
  <c r="B12" i="4"/>
  <c r="B10" i="4"/>
  <c r="B9" i="4"/>
  <c r="B8" i="4"/>
  <c r="B7" i="4"/>
  <c r="B6" i="4"/>
  <c r="B5" i="4"/>
  <c r="B4" i="4"/>
  <c r="B3" i="4"/>
  <c r="B2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8" i="3"/>
  <c r="C27" i="3"/>
  <c r="C26" i="3"/>
  <c r="C24" i="3"/>
  <c r="C23" i="3"/>
  <c r="C22" i="3"/>
  <c r="C21" i="3"/>
  <c r="C20" i="3"/>
  <c r="C16" i="3"/>
  <c r="C15" i="3"/>
  <c r="C14" i="3"/>
  <c r="C13" i="3"/>
  <c r="C12" i="3"/>
  <c r="C11" i="3"/>
  <c r="C9" i="3"/>
  <c r="C8" i="3"/>
  <c r="C7" i="3"/>
  <c r="C6" i="3"/>
  <c r="C5" i="3"/>
  <c r="C4" i="3"/>
  <c r="B28" i="3"/>
  <c r="B27" i="3"/>
  <c r="B25" i="3"/>
  <c r="B24" i="3"/>
  <c r="B22" i="3"/>
  <c r="B21" i="3"/>
  <c r="B20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F5" i="2"/>
  <c r="F6" i="2"/>
  <c r="F7" i="2"/>
  <c r="F8" i="2"/>
  <c r="F9" i="2"/>
  <c r="F10" i="2"/>
  <c r="F11" i="2"/>
  <c r="F12" i="2"/>
  <c r="F4" i="2"/>
  <c r="E13" i="2"/>
  <c r="E12" i="2"/>
  <c r="E11" i="2"/>
  <c r="E10" i="2"/>
  <c r="E9" i="2"/>
  <c r="E8" i="2"/>
  <c r="E7" i="2"/>
  <c r="E6" i="2"/>
  <c r="E5" i="2"/>
  <c r="E4" i="2"/>
  <c r="D13" i="2"/>
  <c r="D12" i="2"/>
  <c r="D11" i="2"/>
  <c r="D10" i="2"/>
  <c r="D9" i="2"/>
  <c r="D8" i="2"/>
  <c r="D7" i="2"/>
  <c r="D6" i="2"/>
  <c r="D5" i="2"/>
  <c r="D4" i="2"/>
  <c r="C13" i="2"/>
  <c r="C12" i="2"/>
  <c r="C11" i="2"/>
  <c r="C10" i="2"/>
  <c r="C9" i="2"/>
  <c r="C8" i="2"/>
  <c r="C7" i="2"/>
  <c r="C6" i="2"/>
  <c r="B7" i="2"/>
  <c r="B13" i="2" s="1"/>
  <c r="C5" i="2"/>
  <c r="B10" i="2"/>
  <c r="B9" i="2"/>
  <c r="B6" i="2"/>
  <c r="B5" i="2"/>
  <c r="B4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2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28" i="3" l="1"/>
</calcChain>
</file>

<file path=xl/sharedStrings.xml><?xml version="1.0" encoding="utf-8"?>
<sst xmlns="http://schemas.openxmlformats.org/spreadsheetml/2006/main" count="6098" uniqueCount="2097">
  <si>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</si>
  <si>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</si>
  <si>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</si>
  <si>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</si>
  <si>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</si>
  <si>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</si>
  <si>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</si>
  <si>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</si>
  <si>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</si>
  <si>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</si>
  <si>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</si>
  <si>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</si>
  <si>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</si>
  <si>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</si>
  <si>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</si>
  <si>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</si>
  <si>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</si>
  <si>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</si>
  <si>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</si>
  <si>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</si>
  <si>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</si>
  <si>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</si>
  <si>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</si>
  <si>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</si>
  <si>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</si>
  <si>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</si>
  <si>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</si>
  <si>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</si>
  <si>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</si>
  <si>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</si>
  <si>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</si>
  <si>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</si>
  <si>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</si>
  <si>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</si>
  <si>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</si>
  <si>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</si>
  <si>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</si>
  <si>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</si>
  <si>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</si>
  <si>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</si>
  <si>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</si>
  <si>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</si>
  <si>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</si>
  <si>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</si>
  <si>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</si>
  <si>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</si>
  <si>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</si>
  <si>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</si>
  <si>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</si>
  <si>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</si>
  <si>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</si>
  <si>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</si>
  <si>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</si>
  <si>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</si>
  <si>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</si>
  <si>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</si>
  <si>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</si>
  <si>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</si>
  <si>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</si>
  <si>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</si>
  <si>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</si>
  <si>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</si>
  <si>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</si>
  <si>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</si>
  <si>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</si>
  <si>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</si>
  <si>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</si>
  <si>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</si>
  <si>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</si>
  <si>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</si>
  <si>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</si>
  <si>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</si>
  <si>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</si>
  <si>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</si>
  <si>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</si>
  <si>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</si>
  <si>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</si>
  <si>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</si>
  <si>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</si>
  <si>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</si>
  <si>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</si>
  <si>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</si>
  <si>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</si>
  <si>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</si>
  <si>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</si>
  <si>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</si>
  <si>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</si>
  <si>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</si>
  <si>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</si>
  <si>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</si>
  <si>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</si>
  <si>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</si>
  <si>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</si>
  <si>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</si>
  <si>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</si>
  <si>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</si>
  <si>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</si>
  <si>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</si>
  <si>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</si>
  <si>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</si>
  <si>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</si>
  <si>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</si>
  <si>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</si>
  <si>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</si>
  <si>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</si>
  <si>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</si>
  <si>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</si>
  <si>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</si>
  <si>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</si>
  <si>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</si>
  <si>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</si>
  <si>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</si>
  <si>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</si>
  <si>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</si>
  <si>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</si>
  <si>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</si>
  <si>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</si>
  <si>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</si>
  <si>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</si>
  <si>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</si>
  <si>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</si>
  <si>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</si>
  <si>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</si>
  <si>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</si>
  <si>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</si>
  <si>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</si>
  <si>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</si>
  <si>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</si>
  <si>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</si>
  <si>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</si>
  <si>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</si>
  <si>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</si>
  <si>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</si>
  <si>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</si>
  <si>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</si>
  <si>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</si>
  <si>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</si>
  <si>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</si>
  <si>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</si>
  <si>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</si>
  <si>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</si>
  <si>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</si>
  <si>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</si>
  <si>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</si>
  <si>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</si>
  <si>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</si>
  <si>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</si>
  <si>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</si>
  <si>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</si>
  <si>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</si>
  <si>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</si>
  <si>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</si>
  <si>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</si>
  <si>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</si>
  <si>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</si>
  <si>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</si>
  <si>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</si>
  <si>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</si>
  <si>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</si>
  <si>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</si>
  <si>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</si>
  <si>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</si>
  <si>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</si>
  <si>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</si>
  <si>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</si>
  <si>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</si>
  <si>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</si>
  <si>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</si>
  <si>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</si>
  <si>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</si>
  <si>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</si>
  <si>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</si>
  <si>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</si>
  <si>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</si>
  <si>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</si>
  <si>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</si>
  <si>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</si>
  <si>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</si>
  <si>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</si>
  <si>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</si>
  <si>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</si>
  <si>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</si>
  <si>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</si>
  <si>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</si>
  <si>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</si>
  <si>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</si>
  <si>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</si>
  <si>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</si>
  <si>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</si>
  <si>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</si>
  <si>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</si>
  <si>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</si>
  <si>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</si>
  <si>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</si>
  <si>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</si>
  <si>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</si>
  <si>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</si>
  <si>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</si>
  <si>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</si>
  <si>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</si>
  <si>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</si>
  <si>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</si>
  <si>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</si>
  <si>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</si>
  <si>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</si>
  <si>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</si>
  <si>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</si>
  <si>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</si>
  <si>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</si>
  <si>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</si>
  <si>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</si>
  <si>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</si>
  <si>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</si>
  <si>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</si>
  <si>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</si>
  <si>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</si>
  <si>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</si>
  <si>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</si>
  <si>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</si>
  <si>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</si>
  <si>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</si>
  <si>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</si>
  <si>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</si>
  <si>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</si>
  <si>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</si>
  <si>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</si>
  <si>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</si>
  <si>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</si>
  <si>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</si>
  <si>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</si>
  <si>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</si>
  <si>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</si>
  <si>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</si>
  <si>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</si>
  <si>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</si>
  <si>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</si>
  <si>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</si>
  <si>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</si>
  <si>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</si>
  <si>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</si>
  <si>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</si>
  <si>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</si>
  <si>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</si>
  <si>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</si>
  <si>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</si>
  <si>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</si>
  <si>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</si>
  <si>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</si>
  <si>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</si>
  <si>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</si>
  <si>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</si>
  <si>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</si>
  <si>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</si>
  <si>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</si>
  <si>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</si>
  <si>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</si>
  <si>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</si>
  <si>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</si>
  <si>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</si>
  <si>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</si>
  <si>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</si>
  <si>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</si>
  <si>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</si>
  <si>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</si>
  <si>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</si>
  <si>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</si>
  <si>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</si>
  <si>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</si>
  <si>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</si>
  <si>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</si>
  <si>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</si>
  <si>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</si>
  <si>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</si>
  <si>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</si>
  <si>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</si>
  <si>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</si>
  <si>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</si>
  <si>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</si>
  <si>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</si>
  <si>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</si>
  <si>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</si>
  <si>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</si>
  <si>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</si>
  <si>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</si>
  <si>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</si>
  <si>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</si>
  <si>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</si>
  <si>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</si>
  <si>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</si>
  <si>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</si>
  <si>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</si>
  <si>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</si>
  <si>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</si>
  <si>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</si>
  <si>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</si>
  <si>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</si>
  <si>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</si>
  <si>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</si>
  <si>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</si>
  <si>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</si>
  <si>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</si>
  <si>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</si>
  <si>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</si>
  <si>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</si>
  <si>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</si>
  <si>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</si>
  <si>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</si>
  <si>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</si>
  <si>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</si>
  <si>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</si>
  <si>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</si>
  <si>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</si>
  <si>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</si>
  <si>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</si>
  <si>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</si>
  <si>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</si>
  <si>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</si>
  <si>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</si>
  <si>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</si>
  <si>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</si>
  <si>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</si>
  <si>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</si>
  <si>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</si>
  <si>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</si>
  <si>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</si>
  <si>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</si>
  <si>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</si>
  <si>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</si>
  <si>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</si>
  <si>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</si>
  <si>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</si>
  <si>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</si>
  <si>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</si>
  <si>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</si>
  <si>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</si>
  <si>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</si>
  <si>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</si>
  <si>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</si>
  <si>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</si>
  <si>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</si>
  <si>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</si>
  <si>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</si>
  <si>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</si>
  <si>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</si>
  <si>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</si>
  <si>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</si>
  <si>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</si>
  <si>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</si>
  <si>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</si>
  <si>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</si>
  <si>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</si>
  <si>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</si>
  <si>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</si>
  <si>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</si>
  <si>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</si>
  <si>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</si>
  <si>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</si>
  <si>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</si>
  <si>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</si>
  <si>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</si>
  <si>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</si>
  <si>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</si>
  <si>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</si>
  <si>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</si>
  <si>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</si>
  <si>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</si>
  <si>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</si>
  <si>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</si>
  <si>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</si>
  <si>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</si>
  <si>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</si>
  <si>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</si>
  <si>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</si>
  <si>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</si>
  <si>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</si>
  <si>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</si>
  <si>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</si>
  <si>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</si>
  <si>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</si>
  <si>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</si>
  <si>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</si>
  <si>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</si>
  <si>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</si>
  <si>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</si>
  <si>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</si>
  <si>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</si>
  <si>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</si>
  <si>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</si>
  <si>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</si>
  <si>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</si>
  <si>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</si>
  <si>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</si>
  <si>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</si>
  <si>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</si>
  <si>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</si>
  <si>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</si>
  <si>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</si>
  <si>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</si>
  <si>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</si>
  <si>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</si>
  <si>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</si>
  <si>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</si>
  <si>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</si>
  <si>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</si>
  <si>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</si>
  <si>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</si>
  <si>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</si>
  <si>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</si>
  <si>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</si>
  <si>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</si>
  <si>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</si>
  <si>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</si>
  <si>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</si>
  <si>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</si>
  <si>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</si>
  <si>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</si>
  <si>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</si>
  <si>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</si>
  <si>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</si>
  <si>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</si>
  <si>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</si>
  <si>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</si>
  <si>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</si>
  <si>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</si>
  <si>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</si>
  <si>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</si>
  <si>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</si>
  <si>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</si>
  <si>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</si>
  <si>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</si>
  <si>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</si>
  <si>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</si>
  <si>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</si>
  <si>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</si>
  <si>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</si>
  <si>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</si>
  <si>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</si>
  <si>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</si>
  <si>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</si>
  <si>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</si>
  <si>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</si>
  <si>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</si>
  <si>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</si>
  <si>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</si>
  <si>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</si>
  <si>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</si>
  <si>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</si>
  <si>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</si>
  <si>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</si>
  <si>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</si>
  <si>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</si>
  <si>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</si>
  <si>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</si>
  <si>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</si>
  <si>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</si>
  <si>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</si>
  <si>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</si>
  <si>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</si>
  <si>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</si>
  <si>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</si>
  <si>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</si>
  <si>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</si>
  <si>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</si>
  <si>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</si>
  <si>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</si>
  <si>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</si>
  <si>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</si>
  <si>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</si>
  <si>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</si>
  <si>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</si>
  <si>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</si>
  <si>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</si>
  <si>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</si>
  <si>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</si>
  <si>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</si>
  <si>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</si>
  <si>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</si>
  <si>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</si>
  <si>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</si>
  <si>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</si>
  <si>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</si>
  <si>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</si>
  <si>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</si>
  <si>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</si>
  <si>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</si>
  <si>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</si>
  <si>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</si>
  <si>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</si>
  <si>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</si>
  <si>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</si>
  <si>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</si>
  <si>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</si>
  <si>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</si>
  <si>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</si>
  <si>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</si>
  <si>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</si>
  <si>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</si>
  <si>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</si>
  <si>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</si>
  <si>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</si>
  <si>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</si>
  <si>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</si>
  <si>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</si>
  <si>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</si>
  <si>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</si>
  <si>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</si>
  <si>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</si>
  <si>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</si>
  <si>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</si>
  <si>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</si>
  <si>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</si>
  <si>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</si>
  <si>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</si>
  <si>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</si>
  <si>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</si>
  <si>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</si>
  <si>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</si>
  <si>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</si>
  <si>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</si>
  <si>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</si>
  <si>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</si>
  <si>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</si>
  <si>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</si>
  <si>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</si>
  <si>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</si>
  <si>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</si>
  <si>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</si>
  <si>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</si>
  <si>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</si>
  <si>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</si>
  <si>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</si>
  <si>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</si>
  <si>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</si>
  <si>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</si>
  <si>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</si>
  <si>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</si>
  <si>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</si>
  <si>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</si>
  <si>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</si>
  <si>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</si>
  <si>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</si>
  <si>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</si>
  <si>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</si>
  <si>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</si>
  <si>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</si>
  <si>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</si>
  <si>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</si>
  <si>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</si>
  <si>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</si>
  <si>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</si>
  <si>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</si>
  <si>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</si>
  <si>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</si>
  <si>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</si>
  <si>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</si>
  <si>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</si>
  <si>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</si>
  <si>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</si>
  <si>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</si>
  <si>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</si>
  <si>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</si>
  <si>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</si>
  <si>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</si>
  <si>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</si>
  <si>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</si>
  <si>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</si>
  <si>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</si>
  <si>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</si>
  <si>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</si>
  <si>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</si>
  <si>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</si>
  <si>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</si>
  <si>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</si>
  <si>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</si>
  <si>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</si>
  <si>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</si>
  <si>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</si>
  <si>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</si>
  <si>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</si>
  <si>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</si>
  <si>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</si>
  <si>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</si>
  <si>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</si>
  <si>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</si>
  <si>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</si>
  <si>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</si>
  <si>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</si>
  <si>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</si>
  <si>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</si>
  <si>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</si>
  <si>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</si>
  <si>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</si>
  <si>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</si>
  <si>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</si>
  <si>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</si>
  <si>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</si>
  <si>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</si>
  <si>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</si>
  <si>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</si>
  <si>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</si>
  <si>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</si>
  <si>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</si>
  <si>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</si>
  <si>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</si>
  <si>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</si>
  <si>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</si>
  <si>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</si>
  <si>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</si>
  <si>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</si>
  <si>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</si>
  <si>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</si>
  <si>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</si>
  <si>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</si>
  <si>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</si>
  <si>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</si>
  <si>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</si>
  <si>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</si>
  <si>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</si>
  <si>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</si>
  <si>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</si>
  <si>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</si>
  <si>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</si>
  <si>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</si>
  <si>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</si>
  <si>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</si>
  <si>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</si>
  <si>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</si>
  <si>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</si>
  <si>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</si>
  <si>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</si>
  <si>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</si>
  <si>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</si>
  <si>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</si>
  <si>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</si>
  <si>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</si>
  <si>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</si>
  <si>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</si>
  <si>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</si>
  <si>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</si>
  <si>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</si>
  <si>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</si>
  <si>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</si>
  <si>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</si>
  <si>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</si>
  <si>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</si>
  <si>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</si>
  <si>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</si>
  <si>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</si>
  <si>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</si>
  <si>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</si>
  <si>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</si>
  <si>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</si>
  <si>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</si>
  <si>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</si>
  <si>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</si>
  <si>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</si>
  <si>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</si>
  <si>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</si>
  <si>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</si>
  <si>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</si>
  <si>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</si>
  <si>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</si>
  <si>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</si>
  <si>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</si>
  <si>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</si>
  <si>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</si>
  <si>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</si>
  <si>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</si>
  <si>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</si>
  <si>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</si>
  <si>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</si>
  <si>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</si>
  <si>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</si>
  <si>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</si>
  <si>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</si>
  <si>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</si>
  <si>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</si>
  <si>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</si>
  <si>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</si>
  <si>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</si>
  <si>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</si>
  <si>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</si>
  <si>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</si>
  <si>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</si>
  <si>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</si>
  <si>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</si>
  <si>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</si>
  <si>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</si>
  <si>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</si>
  <si>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</si>
  <si>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</si>
  <si>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</si>
  <si>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</si>
  <si>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</si>
  <si>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</si>
  <si>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</si>
  <si>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</si>
  <si>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</si>
  <si>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</si>
  <si>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</si>
  <si>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</si>
  <si>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</si>
  <si>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</si>
  <si>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</si>
  <si>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</si>
  <si>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</si>
  <si>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</si>
  <si>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</si>
  <si>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</si>
  <si>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</si>
  <si>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</si>
  <si>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</si>
  <si>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</si>
  <si>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</si>
  <si>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</si>
  <si>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</si>
  <si>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</si>
  <si>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</si>
  <si>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</si>
  <si>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</si>
  <si>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</si>
  <si>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</si>
  <si>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</si>
  <si>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</si>
  <si>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</si>
  <si>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</si>
  <si>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</si>
  <si>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</si>
  <si>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</si>
  <si>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</si>
  <si>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</si>
  <si>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</si>
  <si>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</si>
  <si>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</si>
  <si>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</si>
  <si>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</si>
  <si>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</si>
  <si>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</si>
  <si>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</si>
  <si>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</si>
  <si>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</si>
  <si>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</si>
  <si>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</si>
  <si>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</si>
  <si>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</si>
  <si>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</si>
  <si>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</si>
  <si>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</si>
  <si>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</si>
  <si>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</si>
  <si>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</si>
  <si>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</si>
  <si>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</si>
  <si>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</si>
  <si>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</si>
  <si>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</si>
  <si>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</si>
  <si>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</si>
  <si>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</si>
  <si>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</si>
  <si>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</si>
  <si>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</si>
  <si>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</si>
  <si>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</si>
  <si>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</si>
  <si>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</si>
  <si>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</si>
  <si>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</si>
  <si>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</si>
  <si>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</si>
  <si>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</si>
  <si>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</si>
  <si>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</si>
  <si>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</si>
  <si>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</si>
  <si>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</si>
  <si>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</si>
  <si>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</si>
  <si>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</si>
  <si>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</si>
  <si>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</si>
  <si>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</si>
  <si>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</si>
  <si>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</si>
  <si>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</si>
  <si>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</si>
  <si>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</si>
  <si>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</si>
  <si>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</si>
  <si>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</si>
  <si>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</si>
  <si>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</si>
  <si>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</si>
  <si>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</si>
  <si>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</si>
  <si>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</si>
  <si>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</si>
  <si>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</si>
  <si>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</si>
  <si>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</si>
  <si>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</si>
  <si>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</si>
  <si>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</si>
  <si>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</si>
  <si>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</si>
  <si>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</si>
  <si>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</si>
  <si>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</si>
  <si>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</si>
  <si>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</si>
  <si>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</si>
  <si>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</si>
  <si>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</si>
  <si>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</si>
  <si>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</si>
  <si>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</si>
  <si>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</si>
  <si>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</si>
  <si>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</si>
  <si>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</si>
  <si>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</si>
  <si>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</si>
  <si>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</si>
  <si>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</si>
  <si>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</si>
  <si>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</si>
  <si>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</si>
  <si>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</si>
  <si>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</si>
  <si>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</si>
  <si>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</si>
  <si>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</si>
  <si>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</si>
  <si>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</si>
  <si>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</si>
  <si>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</si>
  <si>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</si>
  <si>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</si>
  <si>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</si>
  <si>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</si>
  <si>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</si>
  <si>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</si>
  <si>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</si>
  <si>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</si>
  <si>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</si>
  <si>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</si>
  <si>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</si>
  <si>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</si>
  <si>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</si>
  <si>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</si>
  <si>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</si>
  <si>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</si>
  <si>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</si>
  <si>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</si>
  <si>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</si>
  <si>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</si>
  <si>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</si>
  <si>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</si>
  <si>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</si>
  <si>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</si>
  <si>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</si>
  <si>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</si>
  <si>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</si>
  <si>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</si>
  <si>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</si>
  <si>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</si>
  <si>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</si>
  <si>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</si>
  <si>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</si>
  <si>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</si>
  <si>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</si>
  <si>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</si>
  <si>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</si>
  <si>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</si>
  <si>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</si>
  <si>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</si>
  <si>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</si>
  <si>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</si>
  <si>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</si>
  <si>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</si>
  <si>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</si>
  <si>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</si>
  <si>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</si>
  <si>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</si>
  <si>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</si>
  <si>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</si>
  <si>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</si>
  <si>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</si>
  <si>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</si>
  <si>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</si>
  <si>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</si>
  <si>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</si>
  <si>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</si>
  <si>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</si>
  <si>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</si>
  <si>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</si>
  <si>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</si>
  <si>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</si>
  <si>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</si>
  <si>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</si>
  <si>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</si>
  <si>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</si>
  <si>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</si>
  <si>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</si>
  <si>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</si>
  <si>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</si>
  <si>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</si>
  <si>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</si>
  <si>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</si>
  <si>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</si>
  <si>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</si>
  <si>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</si>
  <si>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</si>
  <si>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</si>
  <si>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</si>
  <si>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</si>
  <si>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</si>
  <si>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</si>
  <si>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</si>
  <si>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</si>
  <si>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</si>
  <si>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</si>
  <si>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</si>
  <si>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</si>
  <si>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</si>
  <si>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</si>
  <si>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</si>
  <si>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</si>
  <si>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</si>
  <si>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</si>
  <si>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</si>
  <si>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</si>
  <si>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</si>
  <si>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</si>
  <si>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</si>
  <si>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</si>
  <si>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</si>
  <si>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</si>
  <si>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</si>
  <si>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</si>
  <si>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</si>
  <si>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</si>
  <si>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</si>
  <si>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</si>
  <si>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</si>
  <si>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</si>
  <si>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</si>
  <si>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</si>
  <si>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</si>
  <si>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</si>
  <si>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</si>
  <si>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</si>
  <si>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</si>
  <si>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</si>
  <si>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</si>
  <si>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</si>
  <si>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</si>
  <si>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</si>
  <si>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</si>
  <si>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</si>
  <si>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</si>
  <si>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</si>
  <si>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</si>
  <si>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</si>
  <si>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</si>
  <si>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</si>
  <si>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</si>
  <si>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</si>
  <si>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</si>
  <si>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</si>
  <si>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</si>
  <si>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</si>
  <si>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</si>
  <si>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</si>
  <si>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</si>
  <si>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</si>
  <si>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</si>
  <si>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</si>
  <si>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</si>
  <si>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</si>
  <si>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</si>
  <si>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</si>
  <si>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</si>
  <si>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</si>
  <si>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</si>
  <si>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</si>
  <si>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</si>
  <si>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</si>
  <si>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</si>
  <si>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</si>
  <si>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</si>
  <si>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</si>
  <si>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</si>
  <si>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</si>
  <si>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</si>
  <si>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</si>
  <si>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</si>
  <si>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</si>
  <si>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</si>
  <si>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</si>
  <si>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</si>
  <si>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</si>
  <si>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</si>
  <si>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</si>
  <si>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</si>
  <si>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</si>
  <si>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</si>
  <si>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</si>
  <si>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</si>
  <si>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</si>
  <si>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</si>
  <si>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</si>
  <si>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</si>
  <si>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</si>
  <si>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</si>
  <si>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</si>
  <si>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</si>
  <si>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</si>
  <si>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</si>
  <si>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</si>
  <si>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</si>
  <si>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</si>
  <si>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</si>
  <si>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</si>
  <si>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</si>
  <si>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</si>
  <si>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</si>
  <si>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</si>
  <si>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</si>
  <si>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</si>
  <si>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</si>
  <si>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</si>
  <si>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</si>
  <si>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</si>
  <si>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</si>
  <si>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</si>
  <si>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</si>
  <si>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</si>
  <si>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</si>
  <si>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</si>
  <si>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</si>
  <si>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</si>
  <si>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</si>
  <si>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</si>
  <si>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</si>
  <si>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</si>
  <si>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</si>
  <si>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</si>
  <si>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</si>
  <si>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</si>
  <si>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</si>
  <si>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</si>
  <si>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</si>
  <si>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</si>
  <si>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</si>
  <si>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</si>
  <si>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</si>
  <si>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</si>
  <si>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</si>
  <si>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</si>
  <si>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</si>
  <si>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</si>
  <si>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</si>
  <si>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</si>
  <si>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</si>
  <si>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</si>
  <si>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</si>
  <si>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</si>
  <si>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</si>
  <si>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</si>
  <si>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</si>
  <si>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</si>
  <si>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</si>
  <si>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</si>
  <si>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</si>
  <si>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</si>
  <si>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</si>
  <si>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</si>
  <si>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</si>
  <si>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</si>
  <si>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</si>
  <si>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</si>
  <si>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</si>
  <si>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</si>
  <si>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</si>
  <si>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</si>
  <si>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</si>
  <si>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</si>
  <si>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</si>
  <si>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</si>
  <si>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</si>
  <si>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</si>
  <si>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</si>
  <si>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</si>
  <si>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</si>
  <si>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</si>
  <si>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</si>
  <si>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</si>
  <si>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</si>
  <si>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</si>
  <si>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</si>
  <si>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</si>
  <si>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</si>
  <si>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</si>
  <si>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</si>
  <si>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</si>
  <si>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</si>
  <si>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</si>
  <si>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</si>
  <si>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</si>
  <si>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</si>
  <si>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</si>
  <si>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</si>
  <si>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</si>
  <si>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</si>
  <si>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</si>
  <si>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</si>
  <si>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</si>
  <si>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</si>
  <si>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</si>
  <si>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</si>
  <si>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</si>
  <si>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</si>
  <si>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</si>
  <si>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</si>
  <si>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</si>
  <si>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</si>
  <si>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</si>
  <si>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</si>
  <si>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</si>
  <si>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</si>
  <si>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</si>
  <si>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</si>
  <si>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</si>
  <si>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</si>
  <si>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</si>
  <si>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</si>
  <si>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</si>
  <si>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</si>
  <si>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</si>
  <si>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</si>
  <si>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</si>
  <si>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</si>
  <si>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</si>
  <si>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</si>
  <si>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</si>
  <si>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</si>
  <si>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</si>
  <si>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</si>
  <si>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</si>
  <si>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</si>
  <si>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</si>
  <si>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</si>
  <si>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</si>
  <si>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</si>
  <si>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</si>
  <si>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</si>
  <si>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</si>
  <si>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</si>
  <si>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</si>
  <si>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</si>
  <si>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</si>
  <si>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</si>
  <si>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</si>
  <si>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</si>
  <si>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</si>
  <si>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</si>
  <si>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</si>
  <si>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</si>
  <si>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</si>
  <si>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</si>
  <si>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</si>
  <si>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</si>
  <si>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</si>
  <si>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</si>
  <si>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</si>
  <si>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</si>
  <si>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</si>
  <si>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</si>
  <si>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</si>
  <si>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</si>
  <si>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</si>
  <si>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</si>
  <si>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</si>
  <si>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</si>
  <si>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</si>
  <si>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</si>
  <si>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</si>
  <si>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</si>
  <si>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</si>
  <si>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</si>
  <si>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</si>
  <si>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</si>
  <si>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</si>
  <si>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</si>
  <si>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</si>
  <si>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</si>
  <si>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</si>
  <si>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</si>
  <si>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</si>
  <si>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</si>
  <si>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</si>
  <si>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</si>
  <si>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</si>
  <si>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</si>
  <si>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</si>
  <si>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</si>
  <si>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</si>
  <si>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</si>
  <si>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</si>
  <si>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</si>
  <si>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</si>
  <si>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</si>
  <si>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</si>
  <si>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</si>
  <si>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</si>
  <si>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</si>
  <si>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</si>
  <si>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</si>
  <si>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</si>
  <si>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</si>
  <si>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</si>
  <si>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</si>
  <si>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</si>
  <si>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</si>
  <si>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</si>
  <si>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</si>
  <si>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</si>
  <si>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</si>
  <si>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</si>
  <si>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</si>
  <si>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</si>
  <si>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</si>
  <si>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</si>
  <si>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</si>
  <si>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</si>
  <si>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</si>
  <si>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</si>
  <si>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</si>
  <si>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</si>
  <si>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</si>
  <si>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</si>
  <si>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</si>
  <si>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</si>
  <si>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</si>
  <si>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</si>
  <si>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</si>
  <si>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</si>
  <si>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</si>
  <si>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</si>
  <si>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</si>
  <si>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</si>
  <si>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</si>
  <si>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</si>
  <si>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</si>
  <si>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</si>
  <si>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</si>
  <si>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</si>
  <si>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</si>
  <si>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</si>
  <si>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</si>
  <si>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</si>
  <si>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</si>
  <si>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</si>
  <si>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</si>
  <si>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</si>
  <si>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</si>
  <si>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</si>
  <si>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</si>
  <si>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</si>
  <si>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</si>
  <si>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</si>
  <si>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</si>
  <si>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</si>
  <si>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</si>
  <si>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</si>
  <si>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</si>
  <si>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</si>
  <si>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</si>
  <si>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</si>
  <si>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</si>
  <si>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</si>
  <si>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</si>
  <si>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</si>
  <si>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</si>
  <si>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</si>
  <si>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</si>
  <si>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</si>
  <si>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</si>
  <si>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</si>
  <si>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</si>
  <si>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</si>
  <si>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</si>
  <si>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</si>
  <si>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</si>
  <si>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</si>
  <si>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</si>
  <si>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</si>
  <si>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</si>
  <si>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</si>
  <si>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</si>
  <si>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</si>
  <si>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</si>
  <si>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</si>
  <si>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</si>
  <si>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</si>
  <si>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</si>
  <si>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</si>
  <si>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</si>
  <si>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</si>
  <si>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</si>
  <si>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</si>
  <si>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</si>
  <si>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</si>
  <si>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</si>
  <si>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</si>
  <si>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</si>
  <si>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</si>
  <si>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</si>
  <si>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</si>
  <si>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</si>
  <si>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</si>
  <si>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</si>
  <si>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</si>
  <si>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</si>
  <si>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</si>
  <si>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</si>
  <si>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</si>
  <si>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</si>
  <si>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</si>
  <si>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</si>
  <si>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</si>
  <si>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</si>
  <si>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</si>
  <si>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</si>
  <si>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</si>
  <si>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</si>
  <si>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</si>
  <si>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</si>
  <si>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</si>
  <si>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</si>
  <si>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</si>
  <si>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</si>
  <si>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</si>
  <si>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</si>
  <si>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</si>
  <si>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</si>
  <si>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</si>
  <si>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</si>
  <si>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</si>
  <si>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</si>
  <si>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</si>
  <si>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</si>
  <si>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</si>
  <si>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</si>
  <si>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</si>
  <si>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</si>
  <si>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</si>
  <si>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</si>
  <si>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</si>
  <si>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</si>
  <si>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</si>
  <si>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</si>
  <si>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</si>
  <si>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</si>
  <si>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</si>
  <si>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</si>
  <si>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</si>
  <si>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</si>
  <si>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</si>
  <si>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</si>
  <si>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</si>
  <si>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</si>
  <si>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</si>
  <si>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</si>
  <si>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</si>
  <si>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</si>
  <si>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</si>
  <si>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</si>
  <si>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</si>
  <si>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</si>
  <si>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</si>
  <si>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</si>
  <si>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</si>
  <si>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</si>
  <si>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</si>
  <si>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</si>
  <si>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</si>
  <si>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</si>
  <si>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</si>
  <si>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</si>
  <si>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</si>
  <si>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</si>
  <si>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</si>
  <si>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</si>
  <si>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</si>
  <si>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</si>
  <si>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</si>
  <si>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</si>
  <si>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</si>
  <si>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</si>
  <si>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</si>
  <si>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</si>
  <si>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</si>
  <si>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</si>
  <si>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</si>
  <si>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</si>
  <si>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</si>
  <si>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</si>
  <si>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</si>
  <si>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</si>
  <si>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</si>
  <si>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</si>
  <si>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</si>
  <si>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</si>
  <si>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</si>
  <si>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</si>
  <si>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</si>
  <si>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</si>
  <si>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</si>
  <si>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</si>
  <si>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</si>
  <si>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</si>
  <si>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</si>
  <si>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</si>
  <si>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</si>
  <si>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</si>
  <si>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</si>
  <si>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</si>
  <si>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</si>
  <si>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</si>
  <si>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</si>
  <si>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</si>
  <si>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</si>
  <si>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</si>
  <si>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</si>
  <si>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</si>
  <si>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</si>
  <si>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</si>
  <si>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</si>
  <si>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</si>
  <si>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</si>
  <si>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</si>
  <si>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</si>
  <si>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</si>
  <si>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</si>
  <si>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</si>
  <si>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</si>
  <si>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</si>
  <si>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</si>
  <si>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</si>
  <si>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</si>
  <si>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</si>
  <si>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</si>
  <si>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</si>
  <si>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</si>
  <si>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</si>
  <si>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</si>
  <si>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</si>
  <si>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</si>
  <si>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</si>
  <si>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</si>
  <si>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</si>
  <si>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</si>
  <si>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</si>
  <si>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</si>
  <si>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</si>
  <si>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</si>
  <si>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</si>
  <si>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</si>
  <si>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</si>
  <si>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</si>
  <si>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</si>
  <si>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</si>
  <si>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</si>
  <si>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</si>
  <si>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</si>
  <si>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</si>
  <si>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</si>
  <si>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</si>
  <si>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</si>
  <si>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</si>
  <si>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</si>
  <si>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</si>
  <si>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</si>
  <si>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</si>
  <si>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</si>
  <si>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</si>
  <si>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</si>
  <si>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</si>
  <si>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</si>
  <si>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</si>
  <si>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</si>
  <si>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</si>
  <si>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</si>
  <si>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</si>
  <si>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</si>
  <si>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</si>
  <si>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</si>
  <si>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</si>
  <si>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</si>
  <si>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</si>
  <si>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</si>
  <si>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</si>
  <si>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</si>
  <si>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</si>
  <si>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</si>
  <si>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</si>
  <si>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</si>
  <si>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</si>
  <si>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</si>
  <si>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</si>
  <si>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</si>
  <si>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</si>
  <si>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</si>
  <si>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</si>
  <si>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</si>
  <si>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</si>
  <si>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</si>
  <si>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</si>
  <si>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</si>
  <si>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</si>
  <si>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</si>
  <si>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</si>
  <si>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</si>
  <si>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</si>
  <si>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</si>
  <si>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</si>
  <si>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</si>
  <si>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</si>
  <si>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</si>
  <si>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</si>
  <si>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</si>
  <si>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</si>
  <si>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</si>
  <si>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</si>
  <si>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</si>
  <si>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</si>
  <si>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</si>
  <si>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</si>
  <si>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</si>
  <si>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</si>
  <si>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</si>
  <si>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</si>
  <si>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</si>
  <si>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</si>
  <si>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</si>
  <si>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</si>
  <si>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</si>
  <si>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</si>
  <si>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</si>
  <si>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</si>
  <si>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</si>
  <si>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</si>
  <si>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</si>
  <si>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</si>
  <si>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</si>
  <si>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</si>
  <si>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</si>
  <si>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</si>
  <si>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</si>
  <si>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</si>
  <si>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</si>
  <si>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</si>
  <si>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</si>
  <si>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</si>
  <si>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</si>
  <si>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</si>
  <si>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</si>
  <si>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</si>
  <si>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</si>
  <si>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</si>
  <si>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</si>
  <si>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</si>
  <si>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</si>
  <si>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</si>
  <si>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</si>
  <si>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</si>
  <si>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</si>
  <si>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</si>
  <si>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</si>
  <si>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</si>
  <si>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</si>
  <si>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</si>
  <si>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</si>
  <si>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</si>
  <si>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</si>
  <si>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</si>
  <si>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</si>
  <si>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</si>
  <si>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</si>
  <si>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</si>
  <si>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</si>
  <si>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</si>
  <si>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</si>
  <si>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</si>
  <si>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</si>
  <si>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</si>
  <si>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</si>
  <si>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</si>
  <si>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</si>
  <si>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</si>
  <si>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</si>
  <si>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</si>
  <si>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</si>
  <si>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</si>
  <si>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</si>
  <si>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</si>
  <si>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</si>
  <si>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</si>
  <si>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</si>
  <si>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</si>
  <si>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</si>
  <si>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</si>
  <si>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</si>
  <si>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</si>
  <si>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</si>
  <si>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</si>
  <si>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</si>
  <si>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</si>
  <si>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</si>
  <si>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</si>
  <si>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</si>
  <si>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</si>
  <si>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</si>
  <si>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</si>
  <si>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</si>
  <si>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</si>
  <si>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</si>
  <si>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</si>
  <si>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</si>
  <si>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</si>
  <si>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</si>
  <si>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</si>
  <si>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</si>
  <si>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</si>
  <si>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</si>
  <si>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</si>
  <si>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</si>
  <si>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</si>
  <si>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</si>
  <si>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</si>
  <si>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</si>
  <si>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</si>
  <si>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</si>
  <si>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</si>
  <si>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</si>
  <si>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</si>
  <si>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</si>
  <si>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</si>
  <si>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</si>
  <si>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</si>
  <si>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</si>
  <si>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</si>
  <si>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</si>
  <si>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</si>
  <si>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</si>
  <si>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</si>
  <si>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</si>
  <si>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</si>
  <si>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</si>
  <si>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</si>
  <si>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</si>
  <si>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</si>
  <si>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</si>
  <si>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</si>
  <si>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</si>
  <si>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</si>
  <si>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</si>
  <si>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</si>
  <si>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</si>
  <si>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</si>
  <si>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</si>
  <si>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</si>
  <si>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</si>
  <si>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</si>
  <si>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</si>
  <si>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</si>
  <si>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</si>
  <si>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</si>
  <si>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</si>
  <si>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</si>
  <si>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</si>
  <si>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</si>
  <si>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</si>
  <si>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</si>
  <si>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</si>
  <si>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</si>
  <si>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</si>
  <si>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</si>
  <si>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</si>
  <si>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</si>
  <si>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</si>
  <si>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</si>
  <si>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</si>
  <si>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</si>
  <si>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</si>
  <si>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</si>
  <si>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</si>
  <si>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</si>
  <si>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</si>
  <si>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</si>
  <si>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</si>
  <si>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</si>
  <si>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</si>
  <si>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</si>
  <si>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</si>
  <si>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</si>
  <si>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</si>
  <si>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</si>
  <si>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</si>
  <si>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</si>
  <si>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</si>
  <si>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</si>
  <si>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</si>
  <si>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</si>
  <si>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</si>
  <si>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</si>
  <si>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</si>
  <si>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</si>
  <si>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</si>
  <si>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</si>
  <si>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</si>
  <si>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</si>
  <si>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</si>
  <si>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</si>
  <si>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</si>
  <si>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</si>
  <si>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</si>
  <si>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</si>
  <si>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</si>
  <si>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</si>
  <si>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</si>
  <si>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</si>
  <si>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</si>
  <si>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</si>
  <si>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</si>
  <si>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</si>
  <si>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</si>
  <si>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</si>
  <si>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</si>
  <si>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</si>
  <si>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</si>
  <si>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</si>
  <si>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</si>
  <si>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</si>
  <si>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</si>
  <si>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</si>
  <si>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</si>
  <si>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</si>
  <si>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</si>
  <si>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</si>
  <si>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</si>
  <si>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</si>
  <si>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</si>
  <si>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</si>
  <si>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</si>
  <si>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</si>
  <si>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</si>
  <si>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</si>
  <si>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</si>
  <si>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</si>
  <si>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</si>
  <si>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</si>
  <si>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</si>
  <si>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</si>
  <si>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</si>
  <si>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</si>
  <si>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</si>
  <si>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</si>
  <si>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</si>
  <si>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</si>
  <si>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</si>
  <si>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</si>
  <si>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</si>
  <si>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</si>
  <si>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</si>
  <si>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</si>
  <si>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</si>
  <si>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</si>
  <si>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</si>
  <si>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</si>
  <si>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</si>
  <si>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</si>
  <si>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</si>
  <si>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</si>
  <si>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</si>
  <si>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</si>
  <si>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</si>
  <si>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</si>
  <si>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</si>
  <si>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</si>
  <si>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</si>
  <si>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</si>
  <si>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</si>
  <si>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</si>
  <si>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</si>
  <si>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</si>
  <si>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</si>
  <si>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</si>
  <si>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</si>
  <si>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</si>
  <si>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</si>
  <si>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</si>
  <si>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</si>
  <si>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</si>
  <si>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</si>
  <si>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</si>
  <si>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</si>
  <si>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</si>
  <si>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</si>
  <si>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</si>
  <si>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</si>
  <si>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</si>
  <si>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</si>
  <si>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</si>
  <si>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</si>
  <si>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</si>
  <si>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</si>
  <si>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</si>
  <si>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</si>
  <si>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</si>
  <si>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</si>
  <si>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</si>
  <si>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</si>
  <si>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</si>
  <si>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</si>
  <si>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</si>
  <si>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</si>
  <si>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</si>
  <si>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</si>
  <si>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</si>
  <si>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</si>
  <si>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</si>
  <si>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</si>
  <si>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</si>
  <si>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</si>
  <si>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</si>
  <si>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</si>
  <si>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</si>
  <si>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</si>
  <si>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</si>
  <si>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</si>
  <si>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</si>
  <si>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</si>
  <si>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</si>
  <si>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</si>
  <si>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</si>
  <si>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</si>
  <si>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</si>
  <si>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</si>
  <si>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</si>
  <si>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</si>
  <si>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</si>
  <si>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</si>
  <si>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</si>
  <si>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</si>
  <si>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</si>
  <si>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</si>
  <si>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</si>
  <si>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</si>
  <si>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</si>
  <si>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</si>
  <si>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</si>
  <si>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</si>
  <si>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</si>
  <si>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</si>
  <si>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</si>
  <si>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</si>
  <si>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</si>
  <si>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</si>
  <si>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</si>
  <si>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</si>
  <si>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</si>
  <si>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</si>
  <si>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</si>
  <si>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</si>
  <si>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</si>
  <si>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</si>
  <si>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</si>
  <si>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</si>
  <si>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</si>
  <si>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</si>
  <si>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</si>
  <si>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</si>
  <si>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</si>
  <si>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</si>
  <si>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</si>
  <si>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</si>
  <si>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</si>
  <si>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</si>
  <si>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</si>
  <si>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</si>
  <si>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</si>
  <si>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</si>
  <si>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</si>
  <si>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</si>
  <si>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</si>
  <si>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</si>
  <si>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</si>
  <si>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</si>
  <si>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</si>
  <si>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</si>
  <si>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</si>
  <si>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</si>
  <si>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</si>
  <si>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</si>
  <si>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</si>
  <si>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</si>
  <si>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</si>
  <si>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</si>
  <si>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</si>
  <si>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</si>
  <si>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</si>
  <si>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</si>
  <si>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</si>
  <si>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</si>
  <si>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</si>
  <si>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</si>
  <si>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</si>
  <si>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</si>
  <si>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</si>
  <si>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</si>
  <si>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</si>
  <si>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</si>
  <si>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</si>
  <si>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</si>
  <si>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</si>
  <si>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</si>
  <si>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</si>
  <si>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</si>
  <si>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</si>
  <si>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</si>
  <si>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</si>
  <si>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</si>
  <si>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</si>
  <si>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</si>
  <si>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</si>
  <si>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</si>
  <si>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</si>
  <si>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</si>
  <si>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</si>
  <si>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</si>
  <si>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</si>
  <si>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</si>
  <si>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</si>
  <si>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</si>
  <si>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</si>
  <si>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</si>
  <si>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</si>
  <si>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</si>
  <si>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</si>
  <si>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</si>
  <si>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</si>
  <si>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</si>
  <si>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</si>
  <si>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</si>
  <si>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</si>
  <si>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</si>
  <si>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</si>
  <si>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</si>
  <si>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</si>
  <si>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</si>
  <si>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</si>
  <si>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</si>
  <si>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</si>
  <si>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</si>
  <si>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</si>
  <si>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</si>
  <si>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</si>
  <si>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</si>
  <si>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</si>
  <si>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</si>
  <si>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</si>
  <si>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</si>
  <si>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</si>
  <si>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</si>
  <si>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</si>
  <si>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</si>
  <si>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</si>
  <si>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</si>
  <si>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</si>
  <si>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</si>
  <si>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</si>
  <si>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</si>
  <si>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</si>
  <si>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</si>
  <si>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</si>
  <si>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</si>
  <si>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</si>
  <si>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</si>
  <si>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</si>
  <si>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</si>
  <si>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</si>
  <si>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</si>
  <si>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</si>
  <si>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</si>
  <si>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</si>
  <si>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</si>
  <si>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</si>
  <si>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</si>
  <si>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</si>
  <si>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</si>
  <si>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</si>
  <si>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</si>
  <si>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</si>
  <si>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</si>
  <si>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</si>
  <si>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</si>
  <si>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</si>
  <si>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</si>
  <si>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</si>
  <si>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</si>
  <si>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</si>
  <si>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</si>
  <si>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</si>
  <si>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</si>
  <si>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</si>
  <si>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</si>
  <si>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</si>
  <si>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</si>
  <si>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</si>
  <si>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</si>
  <si>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</si>
  <si>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</si>
  <si>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</si>
  <si>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</si>
  <si>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</si>
  <si>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</si>
  <si>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</si>
  <si>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</si>
  <si>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</si>
  <si>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</si>
  <si>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</si>
  <si>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</si>
  <si>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</si>
  <si>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</si>
  <si>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</si>
  <si>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</si>
  <si>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</si>
  <si>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</si>
  <si>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</si>
  <si>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</si>
  <si>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</si>
  <si>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</si>
  <si>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</si>
  <si>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</si>
  <si>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</si>
  <si>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</si>
  <si>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</si>
  <si>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</si>
  <si>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</si>
  <si>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</si>
  <si>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</si>
  <si>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</si>
  <si>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</si>
  <si>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</si>
  <si>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</si>
  <si>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</si>
  <si>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</si>
  <si>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</si>
  <si>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</si>
  <si>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</si>
  <si>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</si>
  <si>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</si>
  <si>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</si>
  <si>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</si>
  <si>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</si>
  <si>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</si>
  <si>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</si>
  <si>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</si>
  <si>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</si>
  <si>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</si>
  <si>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</si>
  <si>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</si>
  <si>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</si>
  <si>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</si>
  <si>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</si>
  <si>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</si>
  <si>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</si>
  <si>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</si>
  <si>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</si>
  <si>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</si>
  <si>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</si>
  <si>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</si>
  <si>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</si>
  <si>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</si>
  <si>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&gt;=50000</t>
  </si>
  <si>
    <t>45000-49999</t>
  </si>
  <si>
    <t>Successful</t>
  </si>
  <si>
    <t>Failed</t>
  </si>
  <si>
    <t>Mean</t>
  </si>
  <si>
    <t>Median</t>
  </si>
  <si>
    <t>Minimum</t>
  </si>
  <si>
    <t>Maximum</t>
  </si>
  <si>
    <t>Variance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</si>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</sst>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campaigns per outcome per sub-category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Sheet2!$B$4:$B$27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E0A-9E37-51A79EC15E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Sheet2!$C$4:$C$27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E0A-9E37-51A79EC15E6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Sheet2!$D$4:$D$27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C-4E0A-9E37-51A79EC15E6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Sheet2!$E$4:$E$27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C-4E0A-9E37-51A79EC1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371168"/>
        <c:axId val="143801280"/>
      </c:barChart>
      <c:catAx>
        <c:axId val="28337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280"/>
        <c:crosses val="autoZero"/>
        <c:auto val="1"/>
        <c:lblAlgn val="ctr"/>
        <c:lblOffset val="100"/>
        <c:noMultiLvlLbl val="0"/>
      </c:catAx>
      <c:valAx>
        <c:axId val="1438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total campaigns per outcome per goal range</a:t>
            </a:r>
            <a:endParaRPr lang="en-GB"/>
          </a:p>
        </c:rich>
      </c:tx>
      <c:layout>
        <c:manualLayout>
          <c:xMode val="edge"/>
          <c:yMode val="edge"/>
          <c:x val="0.250778696467697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67237753038339E-2"/>
          <c:y val="2.8058848965718371E-2"/>
          <c:w val="0.93848593721662554"/>
          <c:h val="0.543102752322116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Sheet3!$F$2:$F$13</c:f>
              <c:numCache>
                <c:formatCode>General</c:formatCode>
                <c:ptCount val="12"/>
                <c:pt idx="0">
                  <c:v>58.82352941176471</c:v>
                </c:pt>
                <c:pt idx="1">
                  <c:v>82.327586206896555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7-490E-96E2-AA42DEC798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Sheet3!$G$2:$G$13</c:f>
              <c:numCache>
                <c:formatCode>General</c:formatCode>
                <c:ptCount val="12"/>
                <c:pt idx="0">
                  <c:v>39.215686274509807</c:v>
                </c:pt>
                <c:pt idx="1">
                  <c:v>16.379310344827587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7-490E-96E2-AA42DEC798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Sheet3!$H$2:$H$13</c:f>
              <c:numCache>
                <c:formatCode>General</c:formatCode>
                <c:ptCount val="12"/>
                <c:pt idx="0">
                  <c:v>1.9607843137254901</c:v>
                </c:pt>
                <c:pt idx="1">
                  <c:v>1.2931034482758621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7-490E-96E2-AA42DEC7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837583"/>
        <c:axId val="1508832783"/>
      </c:lineChart>
      <c:catAx>
        <c:axId val="150883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32783"/>
        <c:crosses val="autoZero"/>
        <c:auto val="1"/>
        <c:lblAlgn val="ctr"/>
        <c:lblOffset val="100"/>
        <c:noMultiLvlLbl val="0"/>
      </c:catAx>
      <c:valAx>
        <c:axId val="15088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375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4-4360-BE00-2EA8E00C07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4-4360-BE00-2EA8E00C07D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4-4360-BE00-2EA8E00C07D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Sheet1!$E$4:$E$12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4-4360-BE00-2EA8E00C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805584"/>
        <c:axId val="974387840"/>
      </c:barChart>
      <c:catAx>
        <c:axId val="107780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840"/>
        <c:crosses val="autoZero"/>
        <c:auto val="1"/>
        <c:lblAlgn val="ctr"/>
        <c:lblOffset val="100"/>
        <c:noMultiLvlLbl val="0"/>
      </c:catAx>
      <c:valAx>
        <c:axId val="974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campaigns per outcome per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D-4BEE-AE78-EC1533A481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D-4BEE-AE78-EC1533A4816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D-4BEE-AE78-EC1533A481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Sheet1!$E$4:$E$12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D-4BEE-AE78-EC1533A4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096384"/>
        <c:axId val="1132087744"/>
      </c:barChart>
      <c:catAx>
        <c:axId val="11320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87744"/>
        <c:crosses val="autoZero"/>
        <c:auto val="1"/>
        <c:lblAlgn val="ctr"/>
        <c:lblOffset val="100"/>
        <c:noMultiLvlLbl val="0"/>
      </c:catAx>
      <c:valAx>
        <c:axId val="1132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11</xdr:row>
      <xdr:rowOff>95249</xdr:rowOff>
    </xdr:from>
    <xdr:to>
      <xdr:col>14</xdr:col>
      <xdr:colOff>419099</xdr:colOff>
      <xdr:row>27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A7AF8-6FA5-8F2B-6C6E-F43EC1AD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542926</xdr:colOff>
      <xdr:row>14</xdr:row>
      <xdr:rowOff>152399</xdr:rowOff>
    </xdr:from>
    <xdr:to>
      <xdr:col>7</xdr:col>
      <xdr:colOff>533400</xdr:colOff>
      <xdr:row>25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8ABC7-A839-0FA3-B7E6-BB8EA7BE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5</xdr:row>
      <xdr:rowOff>57150</xdr:rowOff>
    </xdr:from>
    <xdr:to>
      <xdr:col>13</xdr:col>
      <xdr:colOff>90487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49305-5C5C-0059-569C-1F9683AE5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319087</xdr:colOff>
      <xdr:row>5</xdr:row>
      <xdr:rowOff>57150</xdr:rowOff>
    </xdr:from>
    <xdr:to>
      <xdr:col>13</xdr:col>
      <xdr:colOff>90487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9E8E5-B463-3FE5-2BF3-A4983B98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Vaughan" refreshedDate="45663.971378009257" createdVersion="8" refreshedVersion="8" minRefreshableVersion="3" recordCount="1000" xr:uid="{9FF69ED1-34D0-48A9-9BA4-A9728B8405B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e v="#DIV/0!"/>
    <s v="CA"/>
    <s v="CAD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40"/>
    <s v="successful"/>
    <n v="158"/>
    <n v="92.151898734177209"/>
    <s v="US"/>
    <s v="USD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s v="successful"/>
    <n v="1425"/>
    <n v="100.01614035087719"/>
    <s v="AU"/>
    <s v="AUD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s v="failed"/>
    <n v="24"/>
    <n v="103.20833333333333"/>
    <s v="US"/>
    <s v="USD"/>
    <n v="1565499600"/>
    <n v="1568955600"/>
    <b v="0"/>
    <b v="0"/>
    <x v="1"/>
    <x v="1"/>
    <s v="music/rock"/>
  </r>
  <r>
    <n v="4"/>
    <s v="Larson-Little"/>
    <s v="Proactive foreground core"/>
    <n v="7600"/>
    <n v="5265"/>
    <n v="69.276315789473685"/>
    <s v="failed"/>
    <n v="53"/>
    <n v="99.339622641509436"/>
    <s v="US"/>
    <s v="USD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73.61842105263159"/>
    <s v="successful"/>
    <n v="174"/>
    <n v="75.833333333333329"/>
    <s v="DK"/>
    <s v="DKK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s v="failed"/>
    <n v="18"/>
    <n v="60.555555555555557"/>
    <s v="GB"/>
    <s v="GBP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s v="successful"/>
    <n v="227"/>
    <n v="64.93832599118943"/>
    <s v="DK"/>
    <s v="DKK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19.932788374205266"/>
    <s v="live"/>
    <n v="708"/>
    <n v="30.997175141242938"/>
    <s v="DK"/>
    <s v="DKK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51.741935483870968"/>
    <s v="failed"/>
    <n v="44"/>
    <n v="72.909090909090907"/>
    <s v="US"/>
    <s v="USD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66.11538461538464"/>
    <s v="successful"/>
    <n v="220"/>
    <n v="62.9"/>
    <s v="US"/>
    <s v="USD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s v="failed"/>
    <n v="27"/>
    <n v="112.22222222222223"/>
    <s v="US"/>
    <s v="USD"/>
    <n v="1285045200"/>
    <n v="1285563600"/>
    <b v="0"/>
    <b v="1"/>
    <x v="3"/>
    <x v="3"/>
    <s v="theater/plays"/>
  </r>
  <r>
    <n v="12"/>
    <s v="Kim Ltd"/>
    <s v="Assimilated hybrid intranet"/>
    <n v="6300"/>
    <n v="5629"/>
    <n v="89.349206349206341"/>
    <s v="failed"/>
    <n v="55"/>
    <n v="102.34545454545454"/>
    <s v="US"/>
    <s v="USD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s v="successful"/>
    <n v="98"/>
    <n v="105.05102040816327"/>
    <s v="US"/>
    <s v="USD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s v="failed"/>
    <n v="200"/>
    <n v="94.144999999999996"/>
    <s v="US"/>
    <s v="USD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s v="failed"/>
    <n v="452"/>
    <n v="84.986725663716811"/>
    <s v="US"/>
    <s v="USD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49.47058823529414"/>
    <s v="successful"/>
    <n v="100"/>
    <n v="110.41"/>
    <s v="US"/>
    <s v="USD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s v="successful"/>
    <n v="1249"/>
    <n v="107.96236989591674"/>
    <s v="US"/>
    <s v="USD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66.912087912087912"/>
    <s v="canceled"/>
    <n v="135"/>
    <n v="45.103703703703701"/>
    <s v="US"/>
    <s v="USD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48.529600000000002"/>
    <s v="failed"/>
    <n v="674"/>
    <n v="45.001483679525222"/>
    <s v="US"/>
    <s v="USD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s v="successful"/>
    <n v="1396"/>
    <n v="105.97134670487107"/>
    <s v="US"/>
    <s v="USD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s v="failed"/>
    <n v="558"/>
    <n v="69.055555555555557"/>
    <s v="US"/>
    <s v="USD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28.07106598984771"/>
    <s v="successful"/>
    <n v="890"/>
    <n v="85.044943820224717"/>
    <s v="US"/>
    <s v="USD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32.04444444444448"/>
    <s v="successful"/>
    <n v="142"/>
    <n v="105.22535211267606"/>
    <s v="GB"/>
    <s v="GBP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s v="successful"/>
    <n v="2673"/>
    <n v="39.003741114852225"/>
    <s v="US"/>
    <s v="USD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s v="successful"/>
    <n v="163"/>
    <n v="73.030674846625772"/>
    <s v="US"/>
    <s v="USD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s v="canceled"/>
    <n v="1480"/>
    <n v="35.009459459459457"/>
    <s v="US"/>
    <s v="USD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s v="failed"/>
    <n v="15"/>
    <n v="106.6"/>
    <s v="US"/>
    <s v="USD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s v="successful"/>
    <n v="2220"/>
    <n v="61.997747747747745"/>
    <s v="US"/>
    <s v="USD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s v="successful"/>
    <n v="1606"/>
    <n v="94.000622665006233"/>
    <s v="CH"/>
    <s v="CHF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60.61111111111111"/>
    <s v="successful"/>
    <n v="129"/>
    <n v="112.05426356589147"/>
    <s v="US"/>
    <s v="USD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s v="successful"/>
    <n v="226"/>
    <n v="48.008849557522126"/>
    <s v="GB"/>
    <s v="GBP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86.807920792079202"/>
    <s v="failed"/>
    <n v="2307"/>
    <n v="38.004334633723452"/>
    <s v="IT"/>
    <s v="EUR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s v="successful"/>
    <n v="5419"/>
    <n v="35.000184535892231"/>
    <s v="US"/>
    <s v="USD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s v="successful"/>
    <n v="165"/>
    <n v="85"/>
    <s v="US"/>
    <s v="USD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s v="successful"/>
    <n v="1965"/>
    <n v="95.993893129770996"/>
    <s v="DK"/>
    <s v="DKK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57.28571428571431"/>
    <s v="successful"/>
    <n v="16"/>
    <n v="68.8125"/>
    <s v="US"/>
    <s v="USD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s v="successful"/>
    <n v="107"/>
    <n v="105.97196261682242"/>
    <s v="US"/>
    <s v="USD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s v="successful"/>
    <n v="134"/>
    <n v="75.261194029850742"/>
    <s v="US"/>
    <s v="USD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s v="failed"/>
    <n v="88"/>
    <n v="57.125"/>
    <s v="DK"/>
    <s v="DKK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69.06818181818181"/>
    <s v="successful"/>
    <n v="198"/>
    <n v="75.141414141414145"/>
    <s v="US"/>
    <s v="USD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12.92857142857144"/>
    <s v="successful"/>
    <n v="111"/>
    <n v="107.42342342342343"/>
    <s v="IT"/>
    <s v="EUR"/>
    <n v="1346734800"/>
    <n v="1348981200"/>
    <b v="0"/>
    <b v="1"/>
    <x v="1"/>
    <x v="1"/>
    <s v="music/rock"/>
  </r>
  <r>
    <n v="42"/>
    <s v="Werner-Bryant"/>
    <s v="Virtual uniform frame"/>
    <n v="1800"/>
    <n v="7991"/>
    <n v="443.94444444444446"/>
    <s v="successful"/>
    <n v="222"/>
    <n v="35.995495495495497"/>
    <s v="US"/>
    <s v="USD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85.9390243902439"/>
    <s v="successful"/>
    <n v="6212"/>
    <n v="26.998873148744366"/>
    <s v="US"/>
    <s v="USD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25"/>
    <s v="successful"/>
    <n v="98"/>
    <n v="107.56122448979592"/>
    <s v="DK"/>
    <s v="DKK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s v="failed"/>
    <n v="48"/>
    <n v="94.375"/>
    <s v="US"/>
    <s v="USD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378378378378"/>
    <s v="successful"/>
    <n v="92"/>
    <n v="46.163043478260867"/>
    <s v="US"/>
    <s v="USD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75.26666666666665"/>
    <s v="successful"/>
    <n v="149"/>
    <n v="47.845637583892618"/>
    <s v="US"/>
    <s v="USD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86.97297297297297"/>
    <s v="successful"/>
    <n v="2431"/>
    <n v="53.007815713698065"/>
    <s v="US"/>
    <s v="USD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89.625"/>
    <s v="successful"/>
    <n v="303"/>
    <n v="45.059405940594061"/>
    <s v="US"/>
    <s v="USD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s v="failed"/>
    <n v="1"/>
    <n v="2"/>
    <s v="IT"/>
    <s v="EUR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s v="failed"/>
    <n v="1467"/>
    <n v="99.006816632583508"/>
    <s v="GB"/>
    <s v="GBP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s v="failed"/>
    <n v="75"/>
    <n v="32.786666666666669"/>
    <s v="US"/>
    <s v="USD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40.40909090909091"/>
    <s v="successful"/>
    <n v="209"/>
    <n v="59.119617224880386"/>
    <s v="US"/>
    <s v="USD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89.86666666666666"/>
    <s v="failed"/>
    <n v="120"/>
    <n v="44.93333333333333"/>
    <s v="US"/>
    <s v="USD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s v="successful"/>
    <n v="131"/>
    <n v="89.664122137404576"/>
    <s v="US"/>
    <s v="USD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s v="successful"/>
    <n v="164"/>
    <n v="70.079268292682926"/>
    <s v="US"/>
    <s v="USD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s v="successful"/>
    <n v="201"/>
    <n v="31.059701492537314"/>
    <s v="US"/>
    <s v="USD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27.11111111111114"/>
    <s v="successful"/>
    <n v="211"/>
    <n v="29.061611374407583"/>
    <s v="US"/>
    <s v="USD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75.07142857142861"/>
    <s v="successful"/>
    <n v="128"/>
    <n v="30.0859375"/>
    <s v="US"/>
    <s v="USD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44.37048832271762"/>
    <s v="successful"/>
    <n v="1600"/>
    <n v="84.998125000000002"/>
    <s v="CA"/>
    <s v="CAD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s v="failed"/>
    <n v="2253"/>
    <n v="82.001775410563695"/>
    <s v="CA"/>
    <s v="CAD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s v="successful"/>
    <n v="249"/>
    <n v="58.040160642570278"/>
    <s v="US"/>
    <s v="USD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11.851063829787234"/>
    <s v="failed"/>
    <n v="5"/>
    <n v="111.4"/>
    <s v="US"/>
    <s v="USD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97.642857142857139"/>
    <s v="failed"/>
    <n v="38"/>
    <n v="71.94736842105263"/>
    <s v="US"/>
    <s v="USD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36.14754098360655"/>
    <s v="successful"/>
    <n v="236"/>
    <n v="61.038135593220339"/>
    <s v="US"/>
    <s v="USD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45.068965517241381"/>
    <s v="failed"/>
    <n v="12"/>
    <n v="108.91666666666667"/>
    <s v="US"/>
    <s v="USD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62.38567493112947"/>
    <s v="successful"/>
    <n v="4065"/>
    <n v="29.001722017220171"/>
    <s v="GB"/>
    <s v="GBP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54.52631578947367"/>
    <s v="successful"/>
    <n v="246"/>
    <n v="58.975609756097562"/>
    <s v="IT"/>
    <s v="EUR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24.063291139240505"/>
    <s v="canceled"/>
    <n v="17"/>
    <n v="111.82352941176471"/>
    <s v="US"/>
    <s v="USD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23.74140625000001"/>
    <s v="successful"/>
    <n v="2475"/>
    <n v="63.995555555555555"/>
    <s v="IT"/>
    <s v="EUR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s v="successful"/>
    <n v="76"/>
    <n v="85.315789473684205"/>
    <s v="US"/>
    <s v="USD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70.33333333333326"/>
    <s v="successful"/>
    <n v="54"/>
    <n v="74.481481481481481"/>
    <s v="US"/>
    <s v="USD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s v="successful"/>
    <n v="88"/>
    <n v="105.14772727272727"/>
    <s v="US"/>
    <s v="USD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22.46153846153847"/>
    <s v="successful"/>
    <n v="85"/>
    <n v="56.188235294117646"/>
    <s v="GB"/>
    <s v="GBP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50.57731958762886"/>
    <s v="successful"/>
    <n v="170"/>
    <n v="85.917647058823533"/>
    <s v="US"/>
    <s v="USD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s v="failed"/>
    <n v="1684"/>
    <n v="57.00296912114014"/>
    <s v="US"/>
    <s v="USD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46.94736842105263"/>
    <s v="failed"/>
    <n v="56"/>
    <n v="79.642857142857139"/>
    <s v="US"/>
    <s v="USD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s v="successful"/>
    <n v="330"/>
    <n v="41.018181818181816"/>
    <s v="US"/>
    <s v="USD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69.598615916955026"/>
    <s v="failed"/>
    <n v="838"/>
    <n v="48.004773269689736"/>
    <s v="US"/>
    <s v="USD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s v="successful"/>
    <n v="127"/>
    <n v="55.212598425196852"/>
    <s v="US"/>
    <s v="USD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s v="successful"/>
    <n v="411"/>
    <n v="92.109489051094897"/>
    <s v="US"/>
    <s v="USD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97.3000000000002"/>
    <s v="successful"/>
    <n v="180"/>
    <n v="83.183333333333337"/>
    <s v="GB"/>
    <s v="GBP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37.590225563909776"/>
    <s v="failed"/>
    <n v="1000"/>
    <n v="39.996000000000002"/>
    <s v="US"/>
    <s v="USD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s v="successful"/>
    <n v="374"/>
    <n v="111.1336898395722"/>
    <s v="US"/>
    <s v="USD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s v="successful"/>
    <n v="71"/>
    <n v="90.563380281690144"/>
    <s v="AU"/>
    <s v="AUD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67.63513513513513"/>
    <s v="successful"/>
    <n v="203"/>
    <n v="61.108374384236456"/>
    <s v="US"/>
    <s v="USD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s v="failed"/>
    <n v="1482"/>
    <n v="83.022941970310384"/>
    <s v="AU"/>
    <s v="AUD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60.75"/>
    <s v="successful"/>
    <n v="113"/>
    <n v="110.76106194690266"/>
    <s v="US"/>
    <s v="USD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s v="successful"/>
    <n v="96"/>
    <n v="89.458333333333329"/>
    <s v="US"/>
    <s v="USD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78.615384615384613"/>
    <s v="failed"/>
    <n v="106"/>
    <n v="57.849056603773583"/>
    <s v="US"/>
    <s v="USD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48.404406999351913"/>
    <s v="failed"/>
    <n v="679"/>
    <n v="109.99705449189985"/>
    <s v="IT"/>
    <s v="EUR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s v="successful"/>
    <n v="498"/>
    <n v="103.96586345381526"/>
    <s v="CH"/>
    <s v="CHF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60.548713235294116"/>
    <s v="canceled"/>
    <n v="610"/>
    <n v="107.99508196721311"/>
    <s v="US"/>
    <s v="USD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03.68965517241378"/>
    <s v="successful"/>
    <n v="180"/>
    <n v="48.927777777777777"/>
    <s v="GB"/>
    <s v="GBP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12.99999999999999"/>
    <s v="successful"/>
    <n v="27"/>
    <n v="37.666666666666664"/>
    <s v="US"/>
    <s v="USD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17.37876614060258"/>
    <s v="successful"/>
    <n v="2331"/>
    <n v="64.999141999141997"/>
    <s v="US"/>
    <s v="USD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26.69230769230762"/>
    <s v="successful"/>
    <n v="113"/>
    <n v="106.61061946902655"/>
    <s v="US"/>
    <s v="USD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33.692229038854805"/>
    <s v="failed"/>
    <n v="1220"/>
    <n v="27.009016393442622"/>
    <s v="AU"/>
    <s v="AUD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36842105263"/>
    <s v="successful"/>
    <n v="164"/>
    <n v="91.16463414634147"/>
    <s v="US"/>
    <s v="USD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s v="failed"/>
    <n v="1"/>
    <n v="1"/>
    <s v="US"/>
    <s v="USD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21.4444444444445"/>
    <s v="successful"/>
    <n v="164"/>
    <n v="56.054878048780488"/>
    <s v="US"/>
    <s v="USD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81.67567567567568"/>
    <s v="successful"/>
    <n v="336"/>
    <n v="31.017857142857142"/>
    <s v="US"/>
    <s v="USD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s v="failed"/>
    <n v="37"/>
    <n v="66.513513513513516"/>
    <s v="IT"/>
    <s v="EUR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s v="successful"/>
    <n v="1917"/>
    <n v="89.005216484089729"/>
    <s v="US"/>
    <s v="USD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44.54411764705884"/>
    <s v="successful"/>
    <n v="95"/>
    <n v="103.46315789473684"/>
    <s v="US"/>
    <s v="USD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s v="successful"/>
    <n v="147"/>
    <n v="95.278911564625844"/>
    <s v="US"/>
    <s v="USD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s v="successful"/>
    <n v="86"/>
    <n v="75.895348837209298"/>
    <s v="US"/>
    <s v="USD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95.26666666666665"/>
    <s v="successful"/>
    <n v="83"/>
    <n v="107.57831325301204"/>
    <s v="US"/>
    <s v="USD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s v="failed"/>
    <n v="60"/>
    <n v="51.31666666666667"/>
    <s v="US"/>
    <s v="USD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s v="failed"/>
    <n v="296"/>
    <n v="71.983108108108112"/>
    <s v="US"/>
    <s v="USD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19.95602605863192"/>
    <s v="successful"/>
    <n v="676"/>
    <n v="108.95414201183432"/>
    <s v="US"/>
    <s v="USD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s v="successful"/>
    <n v="361"/>
    <n v="35"/>
    <s v="AU"/>
    <s v="AUD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76.87878787878788"/>
    <s v="successful"/>
    <n v="131"/>
    <n v="94.938931297709928"/>
    <s v="US"/>
    <s v="USD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27.15789473684208"/>
    <s v="successful"/>
    <n v="126"/>
    <n v="109.65079365079364"/>
    <s v="US"/>
    <s v="USD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s v="failed"/>
    <n v="3304"/>
    <n v="44.001815980629537"/>
    <s v="IT"/>
    <s v="EUR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s v="failed"/>
    <n v="73"/>
    <n v="86.794520547945211"/>
    <s v="US"/>
    <s v="USD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73.9387755102041"/>
    <s v="successful"/>
    <n v="275"/>
    <n v="30.992727272727272"/>
    <s v="US"/>
    <s v="USD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s v="successful"/>
    <n v="67"/>
    <n v="94.791044776119406"/>
    <s v="US"/>
    <s v="USD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s v="successful"/>
    <n v="154"/>
    <n v="69.79220779220779"/>
    <s v="US"/>
    <s v="USD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s v="successful"/>
    <n v="1782"/>
    <n v="63.003367003367003"/>
    <s v="US"/>
    <s v="USD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19.33995584988963"/>
    <s v="successful"/>
    <n v="903"/>
    <n v="110.0343300110742"/>
    <s v="US"/>
    <s v="USD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64.367690058479525"/>
    <s v="failed"/>
    <n v="3387"/>
    <n v="25.997933274284026"/>
    <s v="US"/>
    <s v="USD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18.622397298818232"/>
    <s v="failed"/>
    <n v="662"/>
    <n v="49.987915407854985"/>
    <s v="CA"/>
    <s v="CAD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67.76923076923077"/>
    <s v="successful"/>
    <n v="94"/>
    <n v="101.72340425531915"/>
    <s v="IT"/>
    <s v="EUR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s v="successful"/>
    <n v="180"/>
    <n v="47.083333333333336"/>
    <s v="US"/>
    <s v="USD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38.633185349611544"/>
    <s v="failed"/>
    <n v="774"/>
    <n v="89.944444444444443"/>
    <s v="US"/>
    <s v="USD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s v="failed"/>
    <n v="672"/>
    <n v="78.96875"/>
    <s v="CA"/>
    <s v="CAD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60.334277620396605"/>
    <s v="canceled"/>
    <n v="532"/>
    <n v="80.067669172932327"/>
    <s v="US"/>
    <s v="USD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3"/>
    <s v="canceled"/>
    <n v="55"/>
    <n v="86.472727272727269"/>
    <s v="AU"/>
    <s v="AUD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6875"/>
    <s v="successful"/>
    <n v="533"/>
    <n v="28.001876172607879"/>
    <s v="DK"/>
    <s v="DKK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s v="successful"/>
    <n v="2443"/>
    <n v="67.996725337699544"/>
    <s v="GB"/>
    <s v="GBP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16.18181818181819"/>
    <s v="successful"/>
    <n v="89"/>
    <n v="43.078651685393261"/>
    <s v="US"/>
    <s v="USD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10.77777777777777"/>
    <s v="successful"/>
    <n v="159"/>
    <n v="87.95597484276729"/>
    <s v="US"/>
    <s v="USD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89.73668341708543"/>
    <s v="failed"/>
    <n v="940"/>
    <n v="94.987234042553197"/>
    <s v="CH"/>
    <s v="CHF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s v="failed"/>
    <n v="117"/>
    <n v="46.905982905982903"/>
    <s v="US"/>
    <s v="USD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2"/>
    <s v="canceled"/>
    <n v="58"/>
    <n v="46.913793103448278"/>
    <s v="US"/>
    <s v="USD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s v="successful"/>
    <n v="50"/>
    <n v="94.24"/>
    <s v="US"/>
    <s v="USD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s v="failed"/>
    <n v="115"/>
    <n v="80.139130434782615"/>
    <s v="US"/>
    <s v="USD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s v="failed"/>
    <n v="326"/>
    <n v="59.036809815950917"/>
    <s v="US"/>
    <s v="USD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s v="successful"/>
    <n v="186"/>
    <n v="65.989247311827953"/>
    <s v="US"/>
    <s v="USD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s v="successful"/>
    <n v="1071"/>
    <n v="60.992530345471522"/>
    <s v="US"/>
    <s v="USD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30.03999999999996"/>
    <s v="successful"/>
    <n v="117"/>
    <n v="98.307692307692307"/>
    <s v="US"/>
    <s v="USD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35.59259259259261"/>
    <s v="successful"/>
    <n v="70"/>
    <n v="104.6"/>
    <s v="US"/>
    <s v="USD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s v="successful"/>
    <n v="135"/>
    <n v="86.066666666666663"/>
    <s v="US"/>
    <s v="USD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36.512"/>
    <s v="successful"/>
    <n v="768"/>
    <n v="76.989583333333329"/>
    <s v="CH"/>
    <s v="CHF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s v="canceled"/>
    <n v="51"/>
    <n v="29.764705882352942"/>
    <s v="US"/>
    <s v="USD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s v="successful"/>
    <n v="199"/>
    <n v="46.91959798994975"/>
    <s v="US"/>
    <s v="USD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21.02150537634408"/>
    <s v="successful"/>
    <n v="107"/>
    <n v="105.18691588785046"/>
    <s v="US"/>
    <s v="USD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s v="successful"/>
    <n v="195"/>
    <n v="69.907692307692301"/>
    <s v="US"/>
    <s v="USD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1"/>
    <s v="failed"/>
    <n v="1"/>
    <n v="1"/>
    <s v="US"/>
    <s v="USD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64.166909620991248"/>
    <s v="failed"/>
    <n v="1467"/>
    <n v="60.011588275391958"/>
    <s v="US"/>
    <s v="USD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s v="successful"/>
    <n v="3376"/>
    <n v="52.006220379146917"/>
    <s v="US"/>
    <s v="USD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s v="failed"/>
    <n v="5681"/>
    <n v="31.000176025347649"/>
    <s v="US"/>
    <s v="USD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58.756567425569173"/>
    <s v="failed"/>
    <n v="1059"/>
    <n v="95.042492917847028"/>
    <s v="US"/>
    <s v="USD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65.022222222222226"/>
    <s v="failed"/>
    <n v="1194"/>
    <n v="75.968174204355108"/>
    <s v="US"/>
    <s v="USD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73.939560439560438"/>
    <s v="canceled"/>
    <n v="379"/>
    <n v="71.013192612137203"/>
    <s v="AU"/>
    <s v="AUD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52.666666666666664"/>
    <s v="failed"/>
    <n v="30"/>
    <n v="73.733333333333334"/>
    <s v="AU"/>
    <s v="AUD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s v="successful"/>
    <n v="41"/>
    <n v="113.17073170731707"/>
    <s v="US"/>
    <s v="USD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00.01150627615063"/>
    <s v="successful"/>
    <n v="1821"/>
    <n v="105.00933552992861"/>
    <s v="US"/>
    <s v="USD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62.3125"/>
    <s v="successful"/>
    <n v="164"/>
    <n v="79.176829268292678"/>
    <s v="US"/>
    <s v="USD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s v="failed"/>
    <n v="75"/>
    <n v="57.333333333333336"/>
    <s v="US"/>
    <s v="USD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s v="successful"/>
    <n v="157"/>
    <n v="58.178343949044589"/>
    <s v="CH"/>
    <s v="CHF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53.25714285714284"/>
    <s v="successful"/>
    <n v="246"/>
    <n v="36.032520325203251"/>
    <s v="US"/>
    <s v="USD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s v="successful"/>
    <n v="1396"/>
    <n v="107.99068767908309"/>
    <s v="US"/>
    <s v="USD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21.99004424778761"/>
    <s v="successful"/>
    <n v="2506"/>
    <n v="44.005985634477256"/>
    <s v="US"/>
    <s v="USD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37.13265306122449"/>
    <s v="successful"/>
    <n v="244"/>
    <n v="55.077868852459019"/>
    <s v="US"/>
    <s v="USD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s v="successful"/>
    <n v="146"/>
    <n v="74"/>
    <s v="AU"/>
    <s v="AUD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31.30913348946136"/>
    <s v="failed"/>
    <n v="955"/>
    <n v="41.996858638743454"/>
    <s v="DK"/>
    <s v="DKK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s v="successful"/>
    <n v="1267"/>
    <n v="77.988161010260455"/>
    <s v="US"/>
    <s v="USD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s v="failed"/>
    <n v="67"/>
    <n v="82.507462686567166"/>
    <s v="US"/>
    <s v="USD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s v="failed"/>
    <n v="5"/>
    <n v="104.2"/>
    <s v="US"/>
    <s v="USD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82.875"/>
    <s v="failed"/>
    <n v="26"/>
    <n v="25.5"/>
    <s v="US"/>
    <s v="USD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s v="successful"/>
    <n v="1561"/>
    <n v="100.98334401024984"/>
    <s v="US"/>
    <s v="USD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94.66666666666674"/>
    <s v="successful"/>
    <n v="48"/>
    <n v="111.83333333333333"/>
    <s v="US"/>
    <s v="USD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s v="failed"/>
    <n v="1130"/>
    <n v="41.999115044247787"/>
    <s v="US"/>
    <s v="USD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s v="failed"/>
    <n v="782"/>
    <n v="110.05115089514067"/>
    <s v="US"/>
    <s v="USD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s v="successful"/>
    <n v="2739"/>
    <n v="58.997079225994888"/>
    <s v="US"/>
    <s v="USD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96.208333333333329"/>
    <s v="failed"/>
    <n v="210"/>
    <n v="32.985714285714288"/>
    <s v="US"/>
    <s v="USD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57.71910112359546"/>
    <s v="successful"/>
    <n v="3537"/>
    <n v="45.005654509471306"/>
    <s v="CA"/>
    <s v="CAD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s v="successful"/>
    <n v="2107"/>
    <n v="81.98196487897485"/>
    <s v="AU"/>
    <s v="AUD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s v="failed"/>
    <n v="136"/>
    <n v="39.080882352941174"/>
    <s v="US"/>
    <s v="USD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s v="successful"/>
    <n v="3318"/>
    <n v="58.996383363471971"/>
    <s v="DK"/>
    <s v="DKK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s v="failed"/>
    <n v="86"/>
    <n v="40.988372093023258"/>
    <s v="CA"/>
    <s v="CAD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s v="successful"/>
    <n v="340"/>
    <n v="31.029411764705884"/>
    <s v="US"/>
    <s v="USD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71.8"/>
    <s v="failed"/>
    <n v="19"/>
    <n v="37.789473684210527"/>
    <s v="US"/>
    <s v="USD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s v="failed"/>
    <n v="886"/>
    <n v="32.006772009029348"/>
    <s v="US"/>
    <s v="USD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29.87375415282392"/>
    <s v="successful"/>
    <n v="1442"/>
    <n v="95.966712898751737"/>
    <s v="CA"/>
    <s v="CAD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s v="failed"/>
    <n v="35"/>
    <n v="75"/>
    <s v="IT"/>
    <s v="EUR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23.525352848928385"/>
    <s v="canceled"/>
    <n v="441"/>
    <n v="102.0498866213152"/>
    <s v="US"/>
    <s v="USD"/>
    <n v="1457071200"/>
    <n v="1457071200"/>
    <b v="0"/>
    <b v="0"/>
    <x v="3"/>
    <x v="3"/>
    <s v="theater/plays"/>
  </r>
  <r>
    <n v="190"/>
    <s v="Cook LLC"/>
    <s v="Up-sized dynamic throughput"/>
    <n v="3700"/>
    <n v="2538"/>
    <n v="68.594594594594597"/>
    <s v="failed"/>
    <n v="24"/>
    <n v="105.75"/>
    <s v="US"/>
    <s v="USD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37.952380952380956"/>
    <s v="failed"/>
    <n v="86"/>
    <n v="37.069767441860463"/>
    <s v="IT"/>
    <s v="EUR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s v="failed"/>
    <n v="243"/>
    <n v="35.049382716049379"/>
    <s v="US"/>
    <s v="USD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45.636363636363633"/>
    <s v="failed"/>
    <n v="65"/>
    <n v="46.338461538461537"/>
    <s v="US"/>
    <s v="USD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22.7605633802817"/>
    <s v="successful"/>
    <n v="126"/>
    <n v="69.174603174603178"/>
    <s v="US"/>
    <s v="USD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61.75316455696202"/>
    <s v="successful"/>
    <n v="524"/>
    <n v="109.07824427480917"/>
    <s v="US"/>
    <s v="USD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63.146341463414636"/>
    <s v="failed"/>
    <n v="100"/>
    <n v="51.78"/>
    <s v="DK"/>
    <s v="DKK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s v="successful"/>
    <n v="1989"/>
    <n v="82.010055304172951"/>
    <s v="US"/>
    <s v="USD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4"/>
    <s v="failed"/>
    <n v="168"/>
    <n v="35.958333333333336"/>
    <s v="US"/>
    <s v="USD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s v="failed"/>
    <n v="13"/>
    <n v="74.461538461538467"/>
    <s v="US"/>
    <s v="USD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2"/>
    <s v="failed"/>
    <n v="1"/>
    <n v="2"/>
    <s v="CA"/>
    <s v="CAD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s v="successful"/>
    <n v="157"/>
    <n v="91.114649681528661"/>
    <s v="US"/>
    <s v="USD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78.831325301204828"/>
    <s v="canceled"/>
    <n v="82"/>
    <n v="79.792682926829272"/>
    <s v="US"/>
    <s v="USD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s v="successful"/>
    <n v="4498"/>
    <n v="42.999777678968428"/>
    <s v="AU"/>
    <s v="AUD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19999999999999"/>
    <s v="failed"/>
    <n v="40"/>
    <n v="63.225000000000001"/>
    <s v="US"/>
    <s v="USD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31.84615384615387"/>
    <s v="successful"/>
    <n v="80"/>
    <n v="70.174999999999997"/>
    <s v="US"/>
    <s v="USD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s v="canceled"/>
    <n v="57"/>
    <n v="61.333333333333336"/>
    <s v="US"/>
    <s v="USD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s v="successful"/>
    <n v="43"/>
    <n v="99"/>
    <s v="US"/>
    <s v="USD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01.12239715591672"/>
    <s v="successful"/>
    <n v="2053"/>
    <n v="96.984900146127615"/>
    <s v="US"/>
    <s v="USD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s v="live"/>
    <n v="808"/>
    <n v="51.004950495049506"/>
    <s v="AU"/>
    <s v="AUD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s v="failed"/>
    <n v="226"/>
    <n v="28.044247787610619"/>
    <s v="DK"/>
    <s v="DKK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s v="failed"/>
    <n v="1625"/>
    <n v="60.984615384615381"/>
    <s v="US"/>
    <s v="USD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51.85185185185185"/>
    <s v="successful"/>
    <n v="168"/>
    <n v="73.214285714285708"/>
    <s v="US"/>
    <s v="USD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s v="successful"/>
    <n v="4289"/>
    <n v="39.997435299603637"/>
    <s v="US"/>
    <s v="USD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23.1428571428571"/>
    <s v="successful"/>
    <n v="165"/>
    <n v="86.812121212121212"/>
    <s v="US"/>
    <s v="USD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8"/>
    <s v="failed"/>
    <n v="143"/>
    <n v="42.125874125874127"/>
    <s v="US"/>
    <s v="USD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s v="successful"/>
    <n v="1815"/>
    <n v="103.97851239669421"/>
    <s v="US"/>
    <s v="USD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s v="failed"/>
    <n v="934"/>
    <n v="62.003211991434689"/>
    <s v="US"/>
    <s v="USD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s v="successful"/>
    <n v="397"/>
    <n v="31.005037783375315"/>
    <s v="GB"/>
    <s v="GBP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s v="successful"/>
    <n v="1539"/>
    <n v="89.991552956465242"/>
    <s v="US"/>
    <s v="USD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9"/>
    <s v="failed"/>
    <n v="17"/>
    <n v="39.235294117647058"/>
    <s v="US"/>
    <s v="USD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s v="failed"/>
    <n v="2179"/>
    <n v="54.993116108306566"/>
    <s v="US"/>
    <s v="USD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37.97916666666669"/>
    <s v="successful"/>
    <n v="138"/>
    <n v="47.992753623188406"/>
    <s v="US"/>
    <s v="USD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s v="failed"/>
    <n v="931"/>
    <n v="87.966702470461868"/>
    <s v="US"/>
    <s v="USD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03.63930885529157"/>
    <s v="successful"/>
    <n v="3594"/>
    <n v="51.999165275459099"/>
    <s v="US"/>
    <s v="USD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s v="successful"/>
    <n v="5880"/>
    <n v="29.999659863945578"/>
    <s v="US"/>
    <s v="USD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66.63333333333333"/>
    <s v="successful"/>
    <n v="112"/>
    <n v="98.205357142857139"/>
    <s v="US"/>
    <s v="USD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s v="successful"/>
    <n v="943"/>
    <n v="108.96182396606575"/>
    <s v="US"/>
    <s v="USD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19.90717911530093"/>
    <s v="successful"/>
    <n v="2468"/>
    <n v="66.998379254457049"/>
    <s v="US"/>
    <s v="USD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s v="successful"/>
    <n v="2551"/>
    <n v="64.99333594668758"/>
    <s v="US"/>
    <s v="USD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s v="successful"/>
    <n v="101"/>
    <n v="99.841584158415841"/>
    <s v="US"/>
    <s v="USD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s v="canceled"/>
    <n v="67"/>
    <n v="82.432835820895519"/>
    <s v="US"/>
    <s v="USD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71.26470588235293"/>
    <s v="successful"/>
    <n v="92"/>
    <n v="63.293478260869563"/>
    <s v="US"/>
    <s v="USD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57.89473684210526"/>
    <s v="successful"/>
    <n v="62"/>
    <n v="96.774193548387103"/>
    <s v="US"/>
    <s v="USD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s v="successful"/>
    <n v="149"/>
    <n v="54.906040268456373"/>
    <s v="IT"/>
    <s v="EUR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s v="failed"/>
    <n v="92"/>
    <n v="39.010869565217391"/>
    <s v="US"/>
    <s v="USD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s v="failed"/>
    <n v="57"/>
    <n v="75.84210526315789"/>
    <s v="AU"/>
    <s v="AUD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59.3763440860215"/>
    <s v="successful"/>
    <n v="329"/>
    <n v="45.051671732522799"/>
    <s v="US"/>
    <s v="USD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s v="successful"/>
    <n v="97"/>
    <n v="104.51546391752578"/>
    <s v="DK"/>
    <s v="DKK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97.71875"/>
    <s v="failed"/>
    <n v="41"/>
    <n v="76.268292682926827"/>
    <s v="US"/>
    <s v="USD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s v="successful"/>
    <n v="1784"/>
    <n v="69.015695067264573"/>
    <s v="US"/>
    <s v="USD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s v="successful"/>
    <n v="1684"/>
    <n v="101.97684085510689"/>
    <s v="AU"/>
    <s v="AUD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27.72619047619047"/>
    <s v="successful"/>
    <n v="250"/>
    <n v="42.915999999999997"/>
    <s v="US"/>
    <s v="USD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45.21739130434781"/>
    <s v="successful"/>
    <n v="238"/>
    <n v="43.025210084033617"/>
    <s v="US"/>
    <s v="USD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69.71428571428578"/>
    <s v="successful"/>
    <n v="53"/>
    <n v="75.245283018867923"/>
    <s v="US"/>
    <s v="USD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09.34482758620686"/>
    <s v="successful"/>
    <n v="214"/>
    <n v="69.023364485981304"/>
    <s v="US"/>
    <s v="USD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25.5333333333333"/>
    <s v="successful"/>
    <n v="222"/>
    <n v="65.986486486486484"/>
    <s v="US"/>
    <s v="USD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s v="successful"/>
    <n v="1884"/>
    <n v="98.013800424628457"/>
    <s v="US"/>
    <s v="USD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s v="successful"/>
    <n v="218"/>
    <n v="60.105504587155963"/>
    <s v="AU"/>
    <s v="AUD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73.32520325203251"/>
    <s v="successful"/>
    <n v="6465"/>
    <n v="26.000773395204948"/>
    <s v="US"/>
    <s v="USD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s v="failed"/>
    <n v="1"/>
    <n v="3"/>
    <s v="US"/>
    <s v="USD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54.084507042253513"/>
    <s v="failed"/>
    <n v="101"/>
    <n v="38.019801980198018"/>
    <s v="US"/>
    <s v="USD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s v="successful"/>
    <n v="59"/>
    <n v="106.15254237288136"/>
    <s v="US"/>
    <s v="USD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s v="failed"/>
    <n v="1335"/>
    <n v="81.019475655430711"/>
    <s v="CA"/>
    <s v="CAD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s v="successful"/>
    <n v="88"/>
    <n v="96.647727272727266"/>
    <s v="US"/>
    <s v="USD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s v="successful"/>
    <n v="1697"/>
    <n v="57.003535651149086"/>
    <s v="US"/>
    <s v="USD"/>
    <n v="1297836000"/>
    <n v="1298268000"/>
    <b v="0"/>
    <b v="1"/>
    <x v="1"/>
    <x v="1"/>
    <s v="music/rock"/>
  </r>
  <r>
    <n v="256"/>
    <s v="Smith-Reid"/>
    <s v="Optimized actuating toolset"/>
    <n v="4100"/>
    <n v="959"/>
    <n v="23.390243902439025"/>
    <s v="failed"/>
    <n v="15"/>
    <n v="63.93333333333333"/>
    <s v="GB"/>
    <s v="GBP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46"/>
    <s v="successful"/>
    <n v="92"/>
    <n v="90.456521739130437"/>
    <s v="US"/>
    <s v="USD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s v="successful"/>
    <n v="186"/>
    <n v="72.172043010752688"/>
    <s v="US"/>
    <s v="USD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s v="successful"/>
    <n v="138"/>
    <n v="77.934782608695656"/>
    <s v="US"/>
    <s v="USD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s v="successful"/>
    <n v="261"/>
    <n v="38.065134099616856"/>
    <s v="US"/>
    <s v="USD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31.201660735468568"/>
    <s v="failed"/>
    <n v="454"/>
    <n v="57.936123348017624"/>
    <s v="US"/>
    <s v="USD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13.41176470588238"/>
    <s v="successful"/>
    <n v="107"/>
    <n v="49.794392523364486"/>
    <s v="US"/>
    <s v="USD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70.89655172413791"/>
    <s v="successful"/>
    <n v="199"/>
    <n v="54.050251256281406"/>
    <s v="US"/>
    <s v="USD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447368421052"/>
    <s v="successful"/>
    <n v="5512"/>
    <n v="30.002721335268504"/>
    <s v="US"/>
    <s v="USD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23.08163265306122"/>
    <s v="successful"/>
    <n v="86"/>
    <n v="70.127906976744185"/>
    <s v="US"/>
    <s v="USD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76.766756032171585"/>
    <s v="failed"/>
    <n v="3182"/>
    <n v="26.996228786926462"/>
    <s v="IT"/>
    <s v="EUR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33.62012987012989"/>
    <s v="successful"/>
    <n v="2768"/>
    <n v="51.990606936416185"/>
    <s v="AU"/>
    <s v="AUD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80.53333333333333"/>
    <s v="successful"/>
    <n v="48"/>
    <n v="56.416666666666664"/>
    <s v="US"/>
    <s v="USD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s v="successful"/>
    <n v="87"/>
    <n v="101.63218390804597"/>
    <s v="US"/>
    <s v="USD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s v="canceled"/>
    <n v="1890"/>
    <n v="25.005291005291006"/>
    <s v="US"/>
    <s v="USD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s v="live"/>
    <n v="61"/>
    <n v="32.016393442622949"/>
    <s v="US"/>
    <s v="USD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s v="successful"/>
    <n v="1894"/>
    <n v="82.021647307286173"/>
    <s v="US"/>
    <s v="USD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37.23076923076923"/>
    <s v="successful"/>
    <n v="282"/>
    <n v="37.957446808510639"/>
    <s v="CA"/>
    <s v="CAD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32.208333333333336"/>
    <s v="failed"/>
    <n v="15"/>
    <n v="51.533333333333331"/>
    <s v="US"/>
    <s v="USD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s v="successful"/>
    <n v="116"/>
    <n v="81.198275862068968"/>
    <s v="US"/>
    <s v="USD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s v="failed"/>
    <n v="133"/>
    <n v="40.030075187969928"/>
    <s v="US"/>
    <s v="USD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s v="successful"/>
    <n v="83"/>
    <n v="89.939759036144579"/>
    <s v="US"/>
    <s v="USD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s v="successful"/>
    <n v="91"/>
    <n v="96.692307692307693"/>
    <s v="US"/>
    <s v="USD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70.70000000000002"/>
    <s v="successful"/>
    <n v="546"/>
    <n v="25.010989010989011"/>
    <s v="US"/>
    <s v="USD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s v="successful"/>
    <n v="393"/>
    <n v="36.987277353689571"/>
    <s v="US"/>
    <s v="USD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s v="failed"/>
    <n v="2062"/>
    <n v="73.012609117361791"/>
    <s v="US"/>
    <s v="USD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08.04761904761904"/>
    <s v="successful"/>
    <n v="133"/>
    <n v="68.240601503759393"/>
    <s v="US"/>
    <s v="USD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s v="failed"/>
    <n v="29"/>
    <n v="52.310344827586206"/>
    <s v="DK"/>
    <s v="DKK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83.193877551020407"/>
    <s v="failed"/>
    <n v="132"/>
    <n v="61.765151515151516"/>
    <s v="US"/>
    <s v="USD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s v="successful"/>
    <n v="254"/>
    <n v="25.027559055118111"/>
    <s v="US"/>
    <s v="USD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17.446030330062445"/>
    <s v="canceled"/>
    <n v="184"/>
    <n v="106.28804347826087"/>
    <s v="US"/>
    <s v="USD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09.73015873015873"/>
    <s v="successful"/>
    <n v="176"/>
    <n v="75.07386363636364"/>
    <s v="US"/>
    <s v="USD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97.785714285714292"/>
    <s v="failed"/>
    <n v="137"/>
    <n v="39.970802919708028"/>
    <s v="DK"/>
    <s v="DKK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s v="successful"/>
    <n v="337"/>
    <n v="39.982195845697326"/>
    <s v="CA"/>
    <s v="CAD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s v="failed"/>
    <n v="908"/>
    <n v="101.01541850220265"/>
    <s v="US"/>
    <s v="USD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s v="successful"/>
    <n v="107"/>
    <n v="76.813084112149539"/>
    <s v="US"/>
    <s v="USD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19178082191778"/>
    <s v="failed"/>
    <n v="10"/>
    <n v="71.7"/>
    <s v="US"/>
    <s v="USD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16.384615384615383"/>
    <s v="canceled"/>
    <n v="32"/>
    <n v="33.28125"/>
    <s v="IT"/>
    <s v="EUR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39.6666666666667"/>
    <s v="successful"/>
    <n v="183"/>
    <n v="43.923497267759565"/>
    <s v="US"/>
    <s v="USD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s v="failed"/>
    <n v="1910"/>
    <n v="36.004712041884815"/>
    <s v="CH"/>
    <s v="CHF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54.950819672131146"/>
    <s v="failed"/>
    <n v="38"/>
    <n v="88.21052631578948"/>
    <s v="AU"/>
    <s v="AUD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94.236111111111114"/>
    <s v="failed"/>
    <n v="104"/>
    <n v="65.240384615384613"/>
    <s v="AU"/>
    <s v="AUD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43.91428571428571"/>
    <s v="successful"/>
    <n v="72"/>
    <n v="69.958333333333329"/>
    <s v="US"/>
    <s v="USD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51.421052631578945"/>
    <s v="failed"/>
    <n v="49"/>
    <n v="39.877551020408163"/>
    <s v="US"/>
    <s v="USD"/>
    <n v="1456984800"/>
    <n v="1461819600"/>
    <b v="0"/>
    <b v="0"/>
    <x v="0"/>
    <x v="0"/>
    <s v="food/food trucks"/>
  </r>
  <r>
    <n v="300"/>
    <s v="Cooke PLC"/>
    <s v="Focused executive core"/>
    <n v="100"/>
    <n v="5"/>
    <n v="5"/>
    <s v="failed"/>
    <n v="1"/>
    <n v="5"/>
    <s v="DK"/>
    <s v="DKK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s v="successful"/>
    <n v="295"/>
    <n v="41.023728813559323"/>
    <s v="US"/>
    <s v="USD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s v="failed"/>
    <n v="245"/>
    <n v="98.914285714285711"/>
    <s v="US"/>
    <s v="USD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s v="failed"/>
    <n v="32"/>
    <n v="87.78125"/>
    <s v="US"/>
    <s v="USD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46.14285714285722"/>
    <s v="successful"/>
    <n v="142"/>
    <n v="80.767605633802816"/>
    <s v="US"/>
    <s v="USD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86.21428571428572"/>
    <s v="successful"/>
    <n v="85"/>
    <n v="94.28235294117647"/>
    <s v="US"/>
    <s v="USD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s v="failed"/>
    <n v="7"/>
    <n v="73.428571428571431"/>
    <s v="US"/>
    <s v="USD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32.13677811550153"/>
    <s v="successful"/>
    <n v="659"/>
    <n v="65.968133535660087"/>
    <s v="DK"/>
    <s v="DKK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74.077834179357026"/>
    <s v="failed"/>
    <n v="803"/>
    <n v="109.04109589041096"/>
    <s v="US"/>
    <s v="USD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75.292682926829272"/>
    <s v="canceled"/>
    <n v="75"/>
    <n v="41.16"/>
    <s v="US"/>
    <s v="USD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s v="failed"/>
    <n v="16"/>
    <n v="99.125"/>
    <s v="US"/>
    <s v="USD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03.36507936507937"/>
    <s v="successful"/>
    <n v="121"/>
    <n v="105.88429752066116"/>
    <s v="US"/>
    <s v="USD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10.2284263959391"/>
    <s v="successful"/>
    <n v="3742"/>
    <n v="48.996525921966864"/>
    <s v="US"/>
    <s v="USD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95.31818181818181"/>
    <s v="successful"/>
    <n v="223"/>
    <n v="39"/>
    <s v="US"/>
    <s v="USD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94.71428571428572"/>
    <s v="successful"/>
    <n v="133"/>
    <n v="31.022556390977442"/>
    <s v="US"/>
    <s v="USD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s v="failed"/>
    <n v="31"/>
    <n v="103.87096774193549"/>
    <s v="US"/>
    <s v="USD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66.677083333333329"/>
    <s v="failed"/>
    <n v="108"/>
    <n v="59.268518518518519"/>
    <s v="IT"/>
    <s v="EUR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19.227272727272727"/>
    <s v="failed"/>
    <n v="30"/>
    <n v="42.3"/>
    <s v="US"/>
    <s v="USD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s v="failed"/>
    <n v="17"/>
    <n v="53.117647058823529"/>
    <s v="US"/>
    <s v="USD"/>
    <n v="1392357600"/>
    <n v="1392530400"/>
    <b v="0"/>
    <b v="0"/>
    <x v="1"/>
    <x v="1"/>
    <s v="music/rock"/>
  </r>
  <r>
    <n v="319"/>
    <s v="Mills Group"/>
    <s v="Advanced empowering matrix"/>
    <n v="8400"/>
    <n v="3251"/>
    <n v="38.702380952380956"/>
    <s v="canceled"/>
    <n v="64"/>
    <n v="50.796875"/>
    <s v="US"/>
    <s v="USD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7"/>
    <s v="failed"/>
    <n v="80"/>
    <n v="101.15"/>
    <s v="US"/>
    <s v="USD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s v="failed"/>
    <n v="2468"/>
    <n v="65.000810372771468"/>
    <s v="US"/>
    <s v="USD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s v="successful"/>
    <n v="5168"/>
    <n v="37.998645510835914"/>
    <s v="US"/>
    <s v="USD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24.134831460674157"/>
    <s v="failed"/>
    <n v="26"/>
    <n v="82.615384615384613"/>
    <s v="GB"/>
    <s v="GBP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s v="successful"/>
    <n v="307"/>
    <n v="37.941368078175898"/>
    <s v="US"/>
    <s v="USD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90.723076923076931"/>
    <s v="failed"/>
    <n v="73"/>
    <n v="80.780821917808225"/>
    <s v="US"/>
    <s v="USD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s v="failed"/>
    <n v="128"/>
    <n v="25.984375"/>
    <s v="US"/>
    <s v="USD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s v="failed"/>
    <n v="33"/>
    <n v="30.363636363636363"/>
    <s v="US"/>
    <s v="USD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33.56231003039514"/>
    <s v="successful"/>
    <n v="2441"/>
    <n v="54.004916018025398"/>
    <s v="US"/>
    <s v="USD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22.896588486140725"/>
    <s v="live"/>
    <n v="211"/>
    <n v="101.78672985781991"/>
    <s v="US"/>
    <s v="USD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s v="successful"/>
    <n v="1385"/>
    <n v="45.003610108303249"/>
    <s v="GB"/>
    <s v="GBP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43.72727272727275"/>
    <s v="successful"/>
    <n v="190"/>
    <n v="77.068421052631578"/>
    <s v="US"/>
    <s v="USD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s v="successful"/>
    <n v="470"/>
    <n v="88.076595744680844"/>
    <s v="US"/>
    <s v="USD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s v="successful"/>
    <n v="253"/>
    <n v="47.035573122529641"/>
    <s v="US"/>
    <s v="USD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86.61329305135951"/>
    <s v="successful"/>
    <n v="1113"/>
    <n v="110.99550763701707"/>
    <s v="US"/>
    <s v="USD"/>
    <n v="1515564000"/>
    <n v="1516168800"/>
    <b v="0"/>
    <b v="0"/>
    <x v="1"/>
    <x v="1"/>
    <s v="music/rock"/>
  </r>
  <r>
    <n v="335"/>
    <s v="Jordan-Acosta"/>
    <s v="Operative uniform hub"/>
    <n v="173800"/>
    <n v="198628"/>
    <n v="114.28538550057536"/>
    <s v="successful"/>
    <n v="2283"/>
    <n v="87.003066141042481"/>
    <s v="US"/>
    <s v="USD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97.032531824611041"/>
    <s v="failed"/>
    <n v="1072"/>
    <n v="63.994402985074629"/>
    <s v="US"/>
    <s v="USD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22.81904761904762"/>
    <s v="successful"/>
    <n v="1095"/>
    <n v="105.9945205479452"/>
    <s v="US"/>
    <s v="USD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79.14326647564468"/>
    <s v="successful"/>
    <n v="1690"/>
    <n v="73.989349112426041"/>
    <s v="US"/>
    <s v="USD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s v="canceled"/>
    <n v="1297"/>
    <n v="84.02004626060139"/>
    <s v="CA"/>
    <s v="CAD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s v="failed"/>
    <n v="393"/>
    <n v="88.966921119592882"/>
    <s v="US"/>
    <s v="USD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s v="failed"/>
    <n v="1257"/>
    <n v="76.990453460620529"/>
    <s v="US"/>
    <s v="USD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66.521920668058456"/>
    <s v="failed"/>
    <n v="328"/>
    <n v="97.146341463414629"/>
    <s v="US"/>
    <s v="USD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53.922222222222224"/>
    <s v="failed"/>
    <n v="147"/>
    <n v="33.013605442176868"/>
    <s v="US"/>
    <s v="USD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s v="failed"/>
    <n v="830"/>
    <n v="99.950602409638549"/>
    <s v="US"/>
    <s v="USD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s v="failed"/>
    <n v="331"/>
    <n v="69.966767371601208"/>
    <s v="GB"/>
    <s v="GBP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s v="failed"/>
    <n v="25"/>
    <n v="110.32"/>
    <s v="US"/>
    <s v="USD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00.7777777777778"/>
    <s v="successful"/>
    <n v="191"/>
    <n v="66.005235602094245"/>
    <s v="US"/>
    <s v="USD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71.770351758793964"/>
    <s v="failed"/>
    <n v="3483"/>
    <n v="41.005742176284812"/>
    <s v="US"/>
    <s v="USD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53.074115044247783"/>
    <s v="failed"/>
    <n v="923"/>
    <n v="103.96316359696641"/>
    <s v="US"/>
    <s v="USD"/>
    <n v="1500008400"/>
    <n v="1502600400"/>
    <b v="0"/>
    <b v="0"/>
    <x v="3"/>
    <x v="3"/>
    <s v="theater/plays"/>
  </r>
  <r>
    <n v="350"/>
    <s v="Shannon Ltd"/>
    <s v="Pre-emptive neutral capacity"/>
    <n v="100"/>
    <n v="5"/>
    <n v="5"/>
    <s v="failed"/>
    <n v="1"/>
    <n v="5"/>
    <s v="US"/>
    <s v="USD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27.70715249662618"/>
    <s v="successful"/>
    <n v="2013"/>
    <n v="47.009935419771487"/>
    <s v="US"/>
    <s v="USD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34.892857142857139"/>
    <s v="failed"/>
    <n v="33"/>
    <n v="29.606060606060606"/>
    <s v="CA"/>
    <s v="CAD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10.59821428571428"/>
    <s v="successful"/>
    <n v="1703"/>
    <n v="81.010569583088667"/>
    <s v="US"/>
    <s v="USD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23.73770491803278"/>
    <s v="successful"/>
    <n v="80"/>
    <n v="94.35"/>
    <s v="DK"/>
    <s v="DKK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s v="live"/>
    <n v="86"/>
    <n v="26.058139534883722"/>
    <s v="US"/>
    <s v="USD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s v="failed"/>
    <n v="40"/>
    <n v="85.775000000000006"/>
    <s v="IT"/>
    <s v="EUR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84.91304347826087"/>
    <s v="successful"/>
    <n v="41"/>
    <n v="103.73170731707317"/>
    <s v="US"/>
    <s v="USD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11.814432989690722"/>
    <s v="failed"/>
    <n v="23"/>
    <n v="49.826086956521742"/>
    <s v="CA"/>
    <s v="CAD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s v="successful"/>
    <n v="187"/>
    <n v="63.893048128342244"/>
    <s v="US"/>
    <s v="USD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s v="successful"/>
    <n v="2875"/>
    <n v="47.002434782608695"/>
    <s v="GB"/>
    <s v="GBP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73.56363636363636"/>
    <s v="successful"/>
    <n v="88"/>
    <n v="108.47727272727273"/>
    <s v="US"/>
    <s v="USD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71.75675675675677"/>
    <s v="successful"/>
    <n v="191"/>
    <n v="72.015706806282722"/>
    <s v="US"/>
    <s v="USD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60.19230769230771"/>
    <s v="successful"/>
    <n v="139"/>
    <n v="59.928057553956833"/>
    <s v="US"/>
    <s v="USD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16.3333333333335"/>
    <s v="successful"/>
    <n v="186"/>
    <n v="78.209677419354833"/>
    <s v="US"/>
    <s v="USD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375"/>
    <s v="successful"/>
    <n v="112"/>
    <n v="104.77678571428571"/>
    <s v="AU"/>
    <s v="AUD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s v="successful"/>
    <n v="101"/>
    <n v="105.52475247524752"/>
    <s v="US"/>
    <s v="USD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s v="failed"/>
    <n v="75"/>
    <n v="24.933333333333334"/>
    <s v="US"/>
    <s v="USD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s v="successful"/>
    <n v="206"/>
    <n v="69.873786407766985"/>
    <s v="GB"/>
    <s v="GBP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s v="successful"/>
    <n v="154"/>
    <n v="95.733766233766232"/>
    <s v="US"/>
    <s v="USD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s v="successful"/>
    <n v="5966"/>
    <n v="29.997485752598056"/>
    <s v="US"/>
    <s v="USD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s v="failed"/>
    <n v="2176"/>
    <n v="59.011948529411768"/>
    <s v="US"/>
    <s v="USD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s v="successful"/>
    <n v="169"/>
    <n v="84.757396449704146"/>
    <s v="US"/>
    <s v="USD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s v="successful"/>
    <n v="2106"/>
    <n v="78.010921177587846"/>
    <s v="US"/>
    <s v="USD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13.185782556750297"/>
    <s v="failed"/>
    <n v="441"/>
    <n v="50.05215419501134"/>
    <s v="US"/>
    <s v="USD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s v="failed"/>
    <n v="25"/>
    <n v="59.16"/>
    <s v="US"/>
    <s v="USD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61.02941176470591"/>
    <s v="successful"/>
    <n v="131"/>
    <n v="93.702290076335885"/>
    <s v="US"/>
    <s v="USD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10.257545271629779"/>
    <s v="failed"/>
    <n v="127"/>
    <n v="40.14173228346457"/>
    <s v="US"/>
    <s v="USD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13.962962962962964"/>
    <s v="failed"/>
    <n v="355"/>
    <n v="70.090140845070422"/>
    <s v="US"/>
    <s v="USD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s v="failed"/>
    <n v="44"/>
    <n v="66.181818181818187"/>
    <s v="GB"/>
    <s v="GBP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s v="successful"/>
    <n v="84"/>
    <n v="47.714285714285715"/>
    <s v="US"/>
    <s v="USD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s v="successful"/>
    <n v="155"/>
    <n v="62.896774193548389"/>
    <s v="US"/>
    <s v="USD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63.769230769230766"/>
    <s v="failed"/>
    <n v="67"/>
    <n v="86.611940298507463"/>
    <s v="US"/>
    <s v="USD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s v="successful"/>
    <n v="189"/>
    <n v="75.126984126984127"/>
    <s v="US"/>
    <s v="USD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s v="successful"/>
    <n v="4799"/>
    <n v="41.004167534903104"/>
    <s v="US"/>
    <s v="USD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s v="successful"/>
    <n v="1137"/>
    <n v="50.007915567282325"/>
    <s v="US"/>
    <s v="USD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s v="failed"/>
    <n v="1068"/>
    <n v="96.960674157303373"/>
    <s v="US"/>
    <s v="USD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39.261467889908261"/>
    <s v="failed"/>
    <n v="424"/>
    <n v="100.93160377358491"/>
    <s v="US"/>
    <s v="USD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11.270034843205574"/>
    <s v="canceled"/>
    <n v="145"/>
    <n v="89.227586206896547"/>
    <s v="CH"/>
    <s v="CHF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22.11084337349398"/>
    <s v="successful"/>
    <n v="1152"/>
    <n v="87.979166666666671"/>
    <s v="US"/>
    <s v="USD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86.54166666666669"/>
    <s v="successful"/>
    <n v="50"/>
    <n v="89.54"/>
    <s v="US"/>
    <s v="USD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s v="failed"/>
    <n v="151"/>
    <n v="29.09271523178808"/>
    <s v="US"/>
    <s v="USD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s v="failed"/>
    <n v="1608"/>
    <n v="42.006218905472636"/>
    <s v="US"/>
    <s v="USD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s v="successful"/>
    <n v="3059"/>
    <n v="47.004903563255965"/>
    <s v="CA"/>
    <s v="CAD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69.37499999999994"/>
    <s v="successful"/>
    <n v="34"/>
    <n v="110.44117647058823"/>
    <s v="US"/>
    <s v="USD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s v="successful"/>
    <n v="220"/>
    <n v="41.990909090909092"/>
    <s v="US"/>
    <s v="USD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67.05422993492408"/>
    <s v="successful"/>
    <n v="1604"/>
    <n v="48.012468827930178"/>
    <s v="AU"/>
    <s v="AUD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73.8641975308642"/>
    <s v="successful"/>
    <n v="454"/>
    <n v="31.019823788546255"/>
    <s v="US"/>
    <s v="USD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17.76470588235293"/>
    <s v="successful"/>
    <n v="123"/>
    <n v="99.203252032520325"/>
    <s v="IT"/>
    <s v="EUR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s v="failed"/>
    <n v="941"/>
    <n v="66.022316684378325"/>
    <s v="US"/>
    <s v="USD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2"/>
    <s v="failed"/>
    <n v="1"/>
    <n v="2"/>
    <s v="US"/>
    <s v="USD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22222222222"/>
    <s v="successful"/>
    <n v="299"/>
    <n v="46.060200668896321"/>
    <s v="US"/>
    <s v="USD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40.356164383561641"/>
    <s v="failed"/>
    <n v="40"/>
    <n v="73.650000000000006"/>
    <s v="US"/>
    <s v="USD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s v="failed"/>
    <n v="3015"/>
    <n v="55.99336650082919"/>
    <s v="CA"/>
    <s v="CAD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15.58486707566465"/>
    <s v="successful"/>
    <n v="2237"/>
    <n v="68.985695127402778"/>
    <s v="US"/>
    <s v="USD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89.618243243243242"/>
    <s v="failed"/>
    <n v="435"/>
    <n v="60.981609195402299"/>
    <s v="US"/>
    <s v="USD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82.14503816793894"/>
    <s v="successful"/>
    <n v="645"/>
    <n v="110.98139534883721"/>
    <s v="US"/>
    <s v="USD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s v="successful"/>
    <n v="484"/>
    <n v="25"/>
    <s v="DK"/>
    <s v="DKK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31.83695652173913"/>
    <s v="successful"/>
    <n v="154"/>
    <n v="78.759740259740255"/>
    <s v="CA"/>
    <s v="CAD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s v="failed"/>
    <n v="714"/>
    <n v="87.960784313725483"/>
    <s v="US"/>
    <s v="USD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36.132726089785294"/>
    <s v="live"/>
    <n v="1111"/>
    <n v="49.987398739873989"/>
    <s v="US"/>
    <s v="USD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s v="successful"/>
    <n v="82"/>
    <n v="99.524390243902445"/>
    <s v="US"/>
    <s v="USD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68.85714285714289"/>
    <s v="successful"/>
    <n v="134"/>
    <n v="104.82089552238806"/>
    <s v="US"/>
    <s v="USD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62.072823218997364"/>
    <s v="live"/>
    <n v="1089"/>
    <n v="108.01469237832875"/>
    <s v="US"/>
    <s v="USD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s v="failed"/>
    <n v="5497"/>
    <n v="28.998544660724033"/>
    <s v="US"/>
    <s v="USD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11.059030837004405"/>
    <s v="failed"/>
    <n v="418"/>
    <n v="30.028708133971293"/>
    <s v="US"/>
    <s v="USD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s v="failed"/>
    <n v="1439"/>
    <n v="41.005559416261292"/>
    <s v="US"/>
    <s v="USD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s v="failed"/>
    <n v="15"/>
    <n v="62.866666666666667"/>
    <s v="US"/>
    <s v="USD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57.399511301160658"/>
    <s v="failed"/>
    <n v="1999"/>
    <n v="47.005002501250623"/>
    <s v="CA"/>
    <s v="CAD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s v="successful"/>
    <n v="5203"/>
    <n v="26.997693638285604"/>
    <s v="US"/>
    <s v="USD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s v="successful"/>
    <n v="94"/>
    <n v="68.329787234042556"/>
    <s v="US"/>
    <s v="USD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63.989361702127653"/>
    <s v="failed"/>
    <n v="118"/>
    <n v="50.974576271186443"/>
    <s v="US"/>
    <s v="USD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s v="successful"/>
    <n v="205"/>
    <n v="54.024390243902438"/>
    <s v="US"/>
    <s v="USD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10.638024357239512"/>
    <s v="failed"/>
    <n v="162"/>
    <n v="97.055555555555557"/>
    <s v="US"/>
    <s v="USD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40.470588235294116"/>
    <s v="failed"/>
    <n v="83"/>
    <n v="24.867469879518072"/>
    <s v="US"/>
    <s v="USD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s v="successful"/>
    <n v="92"/>
    <n v="84.423913043478265"/>
    <s v="US"/>
    <s v="USD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s v="successful"/>
    <n v="219"/>
    <n v="47.091324200913242"/>
    <s v="US"/>
    <s v="USD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12.90429799426933"/>
    <s v="successful"/>
    <n v="2526"/>
    <n v="77.996041171813147"/>
    <s v="US"/>
    <s v="USD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46.387573964497044"/>
    <s v="failed"/>
    <n v="747"/>
    <n v="62.967871485943775"/>
    <s v="US"/>
    <s v="USD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s v="canceled"/>
    <n v="2138"/>
    <n v="81.006080449017773"/>
    <s v="US"/>
    <s v="USD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s v="failed"/>
    <n v="84"/>
    <n v="65.321428571428569"/>
    <s v="US"/>
    <s v="USD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92.49019607843135"/>
    <s v="successful"/>
    <n v="94"/>
    <n v="104.43617021276596"/>
    <s v="US"/>
    <s v="USD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82.714285714285722"/>
    <s v="failed"/>
    <n v="91"/>
    <n v="69.989010989010993"/>
    <s v="US"/>
    <s v="USD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s v="failed"/>
    <n v="792"/>
    <n v="83.023989898989896"/>
    <s v="US"/>
    <s v="USD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16.722222222222221"/>
    <s v="canceled"/>
    <n v="10"/>
    <n v="90.3"/>
    <s v="CA"/>
    <s v="CAD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16.87664041994749"/>
    <s v="successful"/>
    <n v="1713"/>
    <n v="103.98131932282546"/>
    <s v="IT"/>
    <s v="EUR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52.1538461538462"/>
    <s v="successful"/>
    <n v="249"/>
    <n v="54.931726907630519"/>
    <s v="US"/>
    <s v="USD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23.07407407407408"/>
    <s v="successful"/>
    <n v="192"/>
    <n v="51.921875"/>
    <s v="US"/>
    <s v="USD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s v="successful"/>
    <n v="247"/>
    <n v="60.02834008097166"/>
    <s v="US"/>
    <s v="USD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55.28169014084506"/>
    <s v="successful"/>
    <n v="2293"/>
    <n v="44.003488879197555"/>
    <s v="US"/>
    <s v="USD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s v="successful"/>
    <n v="3131"/>
    <n v="53.003513254551258"/>
    <s v="US"/>
    <s v="USD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24.914285714285715"/>
    <s v="failed"/>
    <n v="32"/>
    <n v="54.5"/>
    <s v="US"/>
    <s v="USD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s v="successful"/>
    <n v="143"/>
    <n v="75.04195804195804"/>
    <s v="IT"/>
    <s v="EUR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34.752688172043008"/>
    <s v="canceled"/>
    <n v="90"/>
    <n v="35.911111111111111"/>
    <s v="US"/>
    <s v="USD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76.41935483870967"/>
    <s v="successful"/>
    <n v="296"/>
    <n v="36.952702702702702"/>
    <s v="US"/>
    <s v="USD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s v="successful"/>
    <n v="170"/>
    <n v="63.170588235294119"/>
    <s v="US"/>
    <s v="USD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82.044117647058826"/>
    <s v="failed"/>
    <n v="186"/>
    <n v="29.99462365591398"/>
    <s v="US"/>
    <s v="USD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s v="canceled"/>
    <n v="439"/>
    <n v="86"/>
    <s v="GB"/>
    <s v="GBP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s v="failed"/>
    <n v="605"/>
    <n v="75.014876033057845"/>
    <s v="US"/>
    <s v="USD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67"/>
    <s v="successful"/>
    <n v="86"/>
    <n v="101.19767441860465"/>
    <s v="DK"/>
    <s v="DKK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4"/>
    <s v="failed"/>
    <n v="1"/>
    <n v="4"/>
    <s v="CA"/>
    <s v="CAD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s v="successful"/>
    <n v="6286"/>
    <n v="29.001272669424118"/>
    <s v="US"/>
    <s v="USD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63.4375"/>
    <s v="failed"/>
    <n v="31"/>
    <n v="98.225806451612897"/>
    <s v="US"/>
    <s v="USD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s v="failed"/>
    <n v="1181"/>
    <n v="87.001693480101608"/>
    <s v="US"/>
    <s v="USD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s v="failed"/>
    <n v="39"/>
    <n v="45.205128205128204"/>
    <s v="US"/>
    <s v="USD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s v="successful"/>
    <n v="3727"/>
    <n v="37.001341561577675"/>
    <s v="US"/>
    <s v="USD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s v="successful"/>
    <n v="1605"/>
    <n v="94.976947040498445"/>
    <s v="US"/>
    <s v="USD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s v="failed"/>
    <n v="46"/>
    <n v="28.956521739130434"/>
    <s v="US"/>
    <s v="USD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51.20118343195264"/>
    <s v="successful"/>
    <n v="2120"/>
    <n v="55.993396226415094"/>
    <s v="US"/>
    <s v="USD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s v="failed"/>
    <n v="105"/>
    <n v="54.038095238095238"/>
    <s v="US"/>
    <s v="USD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s v="successful"/>
    <n v="50"/>
    <n v="82.38"/>
    <s v="US"/>
    <s v="USD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41.04655870445345"/>
    <s v="successful"/>
    <n v="2080"/>
    <n v="66.997115384615384"/>
    <s v="US"/>
    <s v="USD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30.57944915254237"/>
    <s v="failed"/>
    <n v="535"/>
    <n v="107.91401869158878"/>
    <s v="US"/>
    <s v="USD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s v="successful"/>
    <n v="2105"/>
    <n v="69.009501187648453"/>
    <s v="US"/>
    <s v="USD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s v="successful"/>
    <n v="2436"/>
    <n v="39.006568144499177"/>
    <s v="US"/>
    <s v="USD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87.85106382978722"/>
    <s v="successful"/>
    <n v="80"/>
    <n v="110.3625"/>
    <s v="US"/>
    <s v="USD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s v="successful"/>
    <n v="42"/>
    <n v="94.857142857142861"/>
    <s v="US"/>
    <s v="USD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428571428578"/>
    <s v="successful"/>
    <n v="139"/>
    <n v="57.935251798561154"/>
    <s v="CA"/>
    <s v="CAD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40.5"/>
    <s v="failed"/>
    <n v="16"/>
    <n v="101.25"/>
    <s v="US"/>
    <s v="USD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84.42857142857144"/>
    <s v="successful"/>
    <n v="159"/>
    <n v="64.95597484276729"/>
    <s v="US"/>
    <s v="USD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s v="successful"/>
    <n v="381"/>
    <n v="27.00524934383202"/>
    <s v="US"/>
    <s v="USD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s v="successful"/>
    <n v="194"/>
    <n v="50.97422680412371"/>
    <s v="GB"/>
    <s v="GBP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s v="failed"/>
    <n v="575"/>
    <n v="104.94260869565217"/>
    <s v="US"/>
    <s v="USD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78.14000000000001"/>
    <s v="successful"/>
    <n v="106"/>
    <n v="84.028301886792448"/>
    <s v="US"/>
    <s v="USD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65.15"/>
    <s v="successful"/>
    <n v="142"/>
    <n v="102.85915492957747"/>
    <s v="US"/>
    <s v="USD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s v="successful"/>
    <n v="211"/>
    <n v="39.962085308056871"/>
    <s v="US"/>
    <s v="USD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s v="failed"/>
    <n v="1120"/>
    <n v="51.001785714285717"/>
    <s v="US"/>
    <s v="USD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s v="failed"/>
    <n v="113"/>
    <n v="40.823008849557525"/>
    <s v="US"/>
    <s v="USD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s v="successful"/>
    <n v="2756"/>
    <n v="58.999637155297535"/>
    <s v="US"/>
    <s v="USD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666666666663"/>
    <s v="successful"/>
    <n v="173"/>
    <n v="71.156069364161851"/>
    <s v="GB"/>
    <s v="GBP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00.65116279069768"/>
    <s v="successful"/>
    <n v="87"/>
    <n v="99.494252873563212"/>
    <s v="US"/>
    <s v="USD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s v="failed"/>
    <n v="1538"/>
    <n v="103.98634590377114"/>
    <s v="US"/>
    <s v="USD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s v="failed"/>
    <n v="9"/>
    <n v="76.555555555555557"/>
    <s v="US"/>
    <s v="USD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52.774617067833695"/>
    <s v="failed"/>
    <n v="554"/>
    <n v="87.068592057761734"/>
    <s v="US"/>
    <s v="USD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60.20608108108109"/>
    <s v="successful"/>
    <n v="1572"/>
    <n v="48.99554707379135"/>
    <s v="GB"/>
    <s v="GBP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s v="failed"/>
    <n v="648"/>
    <n v="42.969135802469133"/>
    <s v="GB"/>
    <s v="GBP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s v="failed"/>
    <n v="21"/>
    <n v="33.428571428571431"/>
    <s v="GB"/>
    <s v="GBP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78.62556663644605"/>
    <s v="successful"/>
    <n v="2346"/>
    <n v="83.982949701619773"/>
    <s v="US"/>
    <s v="USD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s v="successful"/>
    <n v="115"/>
    <n v="101.41739130434783"/>
    <s v="US"/>
    <s v="USD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01.5108695652174"/>
    <s v="successful"/>
    <n v="85"/>
    <n v="109.87058823529412"/>
    <s v="IT"/>
    <s v="EUR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s v="successful"/>
    <n v="144"/>
    <n v="31.916666666666668"/>
    <s v="US"/>
    <s v="USD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s v="successful"/>
    <n v="2443"/>
    <n v="70.993450675399103"/>
    <s v="US"/>
    <s v="USD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23.995287958115181"/>
    <s v="canceled"/>
    <n v="595"/>
    <n v="77.026890756302521"/>
    <s v="US"/>
    <s v="USD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s v="successful"/>
    <n v="64"/>
    <n v="101.78125"/>
    <s v="US"/>
    <s v="USD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s v="successful"/>
    <n v="268"/>
    <n v="51.059701492537314"/>
    <s v="US"/>
    <s v="USD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s v="successful"/>
    <n v="195"/>
    <n v="68.02051282051282"/>
    <s v="DK"/>
    <s v="DKK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0.90696409140369971"/>
    <s v="failed"/>
    <n v="54"/>
    <n v="30.87037037037037"/>
    <s v="US"/>
    <s v="USD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34.173469387755098"/>
    <s v="failed"/>
    <n v="120"/>
    <n v="27.908333333333335"/>
    <s v="US"/>
    <s v="USD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s v="failed"/>
    <n v="579"/>
    <n v="79.994818652849744"/>
    <s v="DK"/>
    <s v="DKK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48.072649572649574"/>
    <s v="failed"/>
    <n v="2072"/>
    <n v="38.003378378378379"/>
    <s v="US"/>
    <s v="USD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s v="failed"/>
    <n v="0"/>
    <e v="#DIV/0!"/>
    <s v="US"/>
    <s v="USD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70.145182291666657"/>
    <s v="failed"/>
    <n v="1796"/>
    <n v="59.990534521158132"/>
    <s v="US"/>
    <s v="USD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s v="successful"/>
    <n v="186"/>
    <n v="37.037634408602152"/>
    <s v="AU"/>
    <s v="AUD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s v="successful"/>
    <n v="460"/>
    <n v="99.963043478260872"/>
    <s v="US"/>
    <s v="USD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92.320000000000007"/>
    <s v="failed"/>
    <n v="62"/>
    <n v="111.6774193548387"/>
    <s v="IT"/>
    <s v="EUR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13.901001112347053"/>
    <s v="failed"/>
    <n v="347"/>
    <n v="36.014409221902014"/>
    <s v="US"/>
    <s v="USD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s v="successful"/>
    <n v="2528"/>
    <n v="66.010284810126578"/>
    <s v="US"/>
    <s v="USD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s v="failed"/>
    <n v="19"/>
    <n v="44.05263157894737"/>
    <s v="US"/>
    <s v="USD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12.22929936305732"/>
    <s v="successful"/>
    <n v="3657"/>
    <n v="52.999726551818434"/>
    <s v="US"/>
    <s v="USD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70.925816023738875"/>
    <s v="failed"/>
    <n v="1258"/>
    <n v="95"/>
    <s v="US"/>
    <s v="USD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19.08974358974358"/>
    <s v="successful"/>
    <n v="131"/>
    <n v="70.908396946564892"/>
    <s v="AU"/>
    <s v="AUD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s v="failed"/>
    <n v="362"/>
    <n v="98.060773480662988"/>
    <s v="US"/>
    <s v="USD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39.31868131868131"/>
    <s v="successful"/>
    <n v="239"/>
    <n v="53.046025104602514"/>
    <s v="US"/>
    <s v="USD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s v="canceled"/>
    <n v="35"/>
    <n v="93.142857142857139"/>
    <s v="US"/>
    <s v="USD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s v="canceled"/>
    <n v="528"/>
    <n v="58.945075757575758"/>
    <s v="CH"/>
    <s v="CHF"/>
    <n v="1386309600"/>
    <n v="1386741600"/>
    <b v="0"/>
    <b v="1"/>
    <x v="1"/>
    <x v="1"/>
    <s v="music/rock"/>
  </r>
  <r>
    <n v="515"/>
    <s v="Cox LLC"/>
    <s v="Phased 24hour flexibility"/>
    <n v="8600"/>
    <n v="4797"/>
    <n v="55.779069767441861"/>
    <s v="failed"/>
    <n v="133"/>
    <n v="36.067669172932334"/>
    <s v="CA"/>
    <s v="CAD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42.523125996810208"/>
    <s v="failed"/>
    <n v="846"/>
    <n v="63.030732860520096"/>
    <s v="US"/>
    <s v="USD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12.00000000000001"/>
    <s v="successful"/>
    <n v="78"/>
    <n v="84.717948717948715"/>
    <s v="US"/>
    <s v="USD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83"/>
    <s v="failed"/>
    <n v="10"/>
    <n v="62.2"/>
    <s v="US"/>
    <s v="USD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s v="successful"/>
    <n v="1773"/>
    <n v="101.97518330513255"/>
    <s v="US"/>
    <s v="USD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s v="successful"/>
    <n v="32"/>
    <n v="106.4375"/>
    <s v="US"/>
    <s v="USD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45.53947368421052"/>
    <s v="successful"/>
    <n v="369"/>
    <n v="29.975609756097562"/>
    <s v="US"/>
    <s v="USD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s v="failed"/>
    <n v="191"/>
    <n v="85.806282722513089"/>
    <s v="US"/>
    <s v="USD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s v="successful"/>
    <n v="89"/>
    <n v="70.82022471910112"/>
    <s v="US"/>
    <s v="USD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s v="failed"/>
    <n v="1979"/>
    <n v="40.998484082870135"/>
    <s v="US"/>
    <s v="USD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s v="failed"/>
    <n v="63"/>
    <n v="28.063492063492063"/>
    <s v="US"/>
    <s v="USD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s v="successful"/>
    <n v="147"/>
    <n v="88.054421768707485"/>
    <s v="US"/>
    <s v="USD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99.619450317124731"/>
    <s v="failed"/>
    <n v="6080"/>
    <n v="31"/>
    <s v="CA"/>
    <s v="CAD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s v="failed"/>
    <n v="80"/>
    <n v="90.337500000000006"/>
    <s v="GB"/>
    <s v="GBP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11.254901960784313"/>
    <s v="failed"/>
    <n v="9"/>
    <n v="63.777777777777779"/>
    <s v="US"/>
    <s v="USD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s v="failed"/>
    <n v="1784"/>
    <n v="53.995515695067262"/>
    <s v="US"/>
    <s v="USD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s v="live"/>
    <n v="3640"/>
    <n v="48.993956043956047"/>
    <s v="CH"/>
    <s v="CHF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02.87499999999994"/>
    <s v="successful"/>
    <n v="126"/>
    <n v="63.857142857142854"/>
    <s v="CA"/>
    <s v="CAD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s v="successful"/>
    <n v="2218"/>
    <n v="82.996393146979258"/>
    <s v="GB"/>
    <s v="GBP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s v="failed"/>
    <n v="243"/>
    <n v="55.08230452674897"/>
    <s v="US"/>
    <s v="USD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s v="successful"/>
    <n v="202"/>
    <n v="62.044554455445542"/>
    <s v="IT"/>
    <s v="EUR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49.96938775510205"/>
    <s v="successful"/>
    <n v="140"/>
    <n v="104.97857142857143"/>
    <s v="IT"/>
    <s v="EUR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s v="successful"/>
    <n v="1052"/>
    <n v="94.044676806083643"/>
    <s v="DK"/>
    <s v="DKK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s v="failed"/>
    <n v="1296"/>
    <n v="44.007716049382715"/>
    <s v="US"/>
    <s v="USD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s v="failed"/>
    <n v="77"/>
    <n v="92.467532467532465"/>
    <s v="US"/>
    <s v="USD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65.98113207547169"/>
    <s v="successful"/>
    <n v="247"/>
    <n v="57.072874493927124"/>
    <s v="US"/>
    <s v="USD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s v="failed"/>
    <n v="395"/>
    <n v="109.07848101265823"/>
    <s v="IT"/>
    <s v="EUR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6"/>
    <s v="failed"/>
    <n v="49"/>
    <n v="39.387755102040813"/>
    <s v="GB"/>
    <s v="GBP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s v="failed"/>
    <n v="180"/>
    <n v="77.022222222222226"/>
    <s v="US"/>
    <s v="USD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s v="successful"/>
    <n v="84"/>
    <n v="92.166666666666671"/>
    <s v="US"/>
    <s v="USD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88.803571428571431"/>
    <s v="failed"/>
    <n v="2690"/>
    <n v="61.007063197026021"/>
    <s v="US"/>
    <s v="USD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s v="successful"/>
    <n v="88"/>
    <n v="78.068181818181813"/>
    <s v="US"/>
    <s v="USD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69"/>
    <s v="successful"/>
    <n v="156"/>
    <n v="80.75"/>
    <s v="US"/>
    <s v="USD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70.91376701966715"/>
    <s v="successful"/>
    <n v="2985"/>
    <n v="59.991289782244557"/>
    <s v="US"/>
    <s v="USD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s v="successful"/>
    <n v="762"/>
    <n v="110.03018372703411"/>
    <s v="US"/>
    <s v="USD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s v="canceled"/>
    <n v="1"/>
    <n v="4"/>
    <s v="CH"/>
    <s v="CHF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58.6329816768462"/>
    <s v="failed"/>
    <n v="2779"/>
    <n v="37.99856063332134"/>
    <s v="AU"/>
    <s v="AUD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s v="failed"/>
    <n v="92"/>
    <n v="96.369565217391298"/>
    <s v="US"/>
    <s v="USD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s v="failed"/>
    <n v="1028"/>
    <n v="72.978599221789878"/>
    <s v="US"/>
    <s v="USD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51.66315789473683"/>
    <s v="successful"/>
    <n v="554"/>
    <n v="26.007220216606498"/>
    <s v="CA"/>
    <s v="CAD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23.63492063492063"/>
    <s v="successful"/>
    <n v="135"/>
    <n v="104.36296296296297"/>
    <s v="DK"/>
    <s v="DKK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39.75"/>
    <s v="successful"/>
    <n v="122"/>
    <n v="102.18852459016394"/>
    <s v="US"/>
    <s v="USD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99.33333333333334"/>
    <s v="successful"/>
    <n v="221"/>
    <n v="54.117647058823529"/>
    <s v="US"/>
    <s v="USD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s v="successful"/>
    <n v="126"/>
    <n v="63.222222222222221"/>
    <s v="US"/>
    <s v="USD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s v="successful"/>
    <n v="1022"/>
    <n v="104.03228962818004"/>
    <s v="US"/>
    <s v="USD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94.16"/>
    <s v="successful"/>
    <n v="3177"/>
    <n v="49.994334277620396"/>
    <s v="US"/>
    <s v="USD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s v="successful"/>
    <n v="198"/>
    <n v="56.015151515151516"/>
    <s v="CH"/>
    <s v="CHF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12.818181818181817"/>
    <s v="failed"/>
    <n v="26"/>
    <n v="48.807692307692307"/>
    <s v="CH"/>
    <s v="CHF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s v="successful"/>
    <n v="85"/>
    <n v="60.082352941176474"/>
    <s v="AU"/>
    <s v="AUD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s v="failed"/>
    <n v="1790"/>
    <n v="78.990502793296088"/>
    <s v="US"/>
    <s v="USD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04.60063224446787"/>
    <s v="successful"/>
    <n v="3596"/>
    <n v="53.99499443826474"/>
    <s v="US"/>
    <s v="USD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44.344086021505376"/>
    <s v="failed"/>
    <n v="37"/>
    <n v="111.45945945945945"/>
    <s v="US"/>
    <s v="USD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s v="successful"/>
    <n v="244"/>
    <n v="60.922131147540981"/>
    <s v="US"/>
    <s v="USD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86.03314917127071"/>
    <s v="successful"/>
    <n v="5180"/>
    <n v="26.0015444015444"/>
    <s v="US"/>
    <s v="USD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s v="successful"/>
    <n v="589"/>
    <n v="80.993208828522924"/>
    <s v="IT"/>
    <s v="EUR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s v="successful"/>
    <n v="2725"/>
    <n v="34.995963302752294"/>
    <s v="US"/>
    <s v="USD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94.142857142857139"/>
    <s v="failed"/>
    <n v="35"/>
    <n v="94.142857142857139"/>
    <s v="IT"/>
    <s v="EUR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54.400000000000006"/>
    <s v="canceled"/>
    <n v="94"/>
    <n v="52.085106382978722"/>
    <s v="US"/>
    <s v="USD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11.88059701492537"/>
    <s v="successful"/>
    <n v="300"/>
    <n v="24.986666666666668"/>
    <s v="US"/>
    <s v="USD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69.14814814814815"/>
    <s v="successful"/>
    <n v="144"/>
    <n v="69.215277777777771"/>
    <s v="US"/>
    <s v="USD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62.930372148859547"/>
    <s v="failed"/>
    <n v="558"/>
    <n v="93.944444444444443"/>
    <s v="US"/>
    <s v="USD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64.927835051546396"/>
    <s v="failed"/>
    <n v="64"/>
    <n v="98.40625"/>
    <s v="US"/>
    <s v="USD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18.853658536585368"/>
    <s v="canceled"/>
    <n v="37"/>
    <n v="41.783783783783782"/>
    <s v="US"/>
    <s v="USD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16.754404145077721"/>
    <s v="failed"/>
    <n v="245"/>
    <n v="65.991836734693877"/>
    <s v="US"/>
    <s v="USD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s v="successful"/>
    <n v="87"/>
    <n v="72.05747126436782"/>
    <s v="US"/>
    <s v="USD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41.5022831050228"/>
    <s v="successful"/>
    <n v="3116"/>
    <n v="48.003209242618745"/>
    <s v="US"/>
    <s v="USD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64.016666666666666"/>
    <s v="failed"/>
    <n v="71"/>
    <n v="54.098591549295776"/>
    <s v="US"/>
    <s v="USD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52.080459770114942"/>
    <s v="failed"/>
    <n v="42"/>
    <n v="107.88095238095238"/>
    <s v="US"/>
    <s v="USD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s v="successful"/>
    <n v="909"/>
    <n v="67.034103410341032"/>
    <s v="US"/>
    <s v="USD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s v="successful"/>
    <n v="1613"/>
    <n v="64.01425914445133"/>
    <s v="US"/>
    <s v="USD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46.79775280898878"/>
    <s v="successful"/>
    <n v="136"/>
    <n v="96.066176470588232"/>
    <s v="US"/>
    <s v="USD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50.57142857142856"/>
    <s v="successful"/>
    <n v="130"/>
    <n v="51.184615384615384"/>
    <s v="US"/>
    <s v="USD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72.893617021276597"/>
    <s v="failed"/>
    <n v="156"/>
    <n v="43.92307692307692"/>
    <s v="CA"/>
    <s v="CAD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79.008248730964468"/>
    <s v="failed"/>
    <n v="1368"/>
    <n v="91.021198830409361"/>
    <s v="GB"/>
    <s v="GBP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64.721518987341781"/>
    <s v="failed"/>
    <n v="102"/>
    <n v="50.127450980392155"/>
    <s v="US"/>
    <s v="USD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s v="failed"/>
    <n v="86"/>
    <n v="67.720930232558146"/>
    <s v="AU"/>
    <s v="AUD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s v="successful"/>
    <n v="102"/>
    <n v="61.03921568627451"/>
    <s v="US"/>
    <s v="USD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s v="failed"/>
    <n v="253"/>
    <n v="80.011857707509876"/>
    <s v="US"/>
    <s v="USD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54.84210526315789"/>
    <s v="successful"/>
    <n v="4006"/>
    <n v="47.001497753369947"/>
    <s v="US"/>
    <s v="USD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s v="failed"/>
    <n v="157"/>
    <n v="71.127388535031841"/>
    <s v="US"/>
    <s v="USD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s v="successful"/>
    <n v="1629"/>
    <n v="89.99079189686924"/>
    <s v="US"/>
    <s v="USD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99.683544303797461"/>
    <s v="failed"/>
    <n v="183"/>
    <n v="43.032786885245905"/>
    <s v="US"/>
    <s v="USD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s v="successful"/>
    <n v="2188"/>
    <n v="67.997714808043881"/>
    <s v="US"/>
    <s v="USD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s v="successful"/>
    <n v="2409"/>
    <n v="73.004566210045667"/>
    <s v="IT"/>
    <s v="EUR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s v="failed"/>
    <n v="82"/>
    <n v="62.341463414634148"/>
    <s v="DK"/>
    <s v="DKK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s v="failed"/>
    <n v="1"/>
    <n v="5"/>
    <s v="GB"/>
    <s v="GBP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06.63492063492063"/>
    <s v="successful"/>
    <n v="194"/>
    <n v="67.103092783505161"/>
    <s v="US"/>
    <s v="USD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28.23628691983123"/>
    <s v="successful"/>
    <n v="1140"/>
    <n v="79.978947368421046"/>
    <s v="US"/>
    <s v="USD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s v="successful"/>
    <n v="102"/>
    <n v="62.176470588235297"/>
    <s v="US"/>
    <s v="USD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s v="successful"/>
    <n v="2857"/>
    <n v="53.005950297514879"/>
    <s v="US"/>
    <s v="USD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s v="successful"/>
    <n v="107"/>
    <n v="57.738317757009348"/>
    <s v="US"/>
    <s v="USD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88.38235294117646"/>
    <s v="successful"/>
    <n v="160"/>
    <n v="40.03125"/>
    <s v="GB"/>
    <s v="GBP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s v="successful"/>
    <n v="2230"/>
    <n v="81.016591928251117"/>
    <s v="US"/>
    <s v="USD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83.97435897435901"/>
    <s v="successful"/>
    <n v="316"/>
    <n v="35.047468354430379"/>
    <s v="US"/>
    <s v="USD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20.41999999999999"/>
    <s v="successful"/>
    <n v="117"/>
    <n v="102.92307692307692"/>
    <s v="US"/>
    <s v="USD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s v="successful"/>
    <n v="6406"/>
    <n v="27.998126756166094"/>
    <s v="US"/>
    <s v="USD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13.853658536585368"/>
    <s v="canceled"/>
    <n v="15"/>
    <n v="75.733333333333334"/>
    <s v="US"/>
    <s v="USD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39.43548387096774"/>
    <s v="successful"/>
    <n v="192"/>
    <n v="45.026041666666664"/>
    <s v="US"/>
    <s v="USD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s v="successful"/>
    <n v="26"/>
    <n v="73.615384615384613"/>
    <s v="CA"/>
    <s v="CAD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s v="successful"/>
    <n v="723"/>
    <n v="56.991701244813278"/>
    <s v="US"/>
    <s v="USD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s v="successful"/>
    <n v="170"/>
    <n v="85.223529411764702"/>
    <s v="IT"/>
    <s v="EUR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89.515625"/>
    <s v="successful"/>
    <n v="238"/>
    <n v="50.962184873949582"/>
    <s v="GB"/>
    <s v="GBP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49.71428571428572"/>
    <s v="successful"/>
    <n v="55"/>
    <n v="63.563636363636363"/>
    <s v="US"/>
    <s v="USD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48.860523665659613"/>
    <s v="failed"/>
    <n v="1198"/>
    <n v="80.999165275459092"/>
    <s v="US"/>
    <s v="USD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28.461970393057683"/>
    <s v="failed"/>
    <n v="648"/>
    <n v="86.044753086419746"/>
    <s v="US"/>
    <s v="USD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s v="successful"/>
    <n v="128"/>
    <n v="90.0390625"/>
    <s v="AU"/>
    <s v="AUD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s v="successful"/>
    <n v="2144"/>
    <n v="74.006063432835816"/>
    <s v="US"/>
    <s v="USD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01587301587301"/>
    <s v="failed"/>
    <n v="64"/>
    <n v="92.4375"/>
    <s v="US"/>
    <s v="USD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s v="successful"/>
    <n v="2693"/>
    <n v="55.999257333828446"/>
    <s v="GB"/>
    <s v="GBP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s v="successful"/>
    <n v="432"/>
    <n v="32.983796296296298"/>
    <s v="US"/>
    <s v="USD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s v="failed"/>
    <n v="62"/>
    <n v="93.596774193548384"/>
    <s v="US"/>
    <s v="USD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s v="successful"/>
    <n v="189"/>
    <n v="69.867724867724874"/>
    <s v="US"/>
    <s v="USD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s v="successful"/>
    <n v="154"/>
    <n v="72.129870129870127"/>
    <s v="GB"/>
    <s v="GBP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s v="successful"/>
    <n v="96"/>
    <n v="30.041666666666668"/>
    <s v="US"/>
    <s v="USD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s v="failed"/>
    <n v="750"/>
    <n v="73.968000000000004"/>
    <s v="US"/>
    <s v="USD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62.873684210526314"/>
    <s v="canceled"/>
    <n v="87"/>
    <n v="68.65517241379311"/>
    <s v="US"/>
    <s v="USD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864864864865"/>
    <s v="successful"/>
    <n v="3063"/>
    <n v="59.992164544564154"/>
    <s v="US"/>
    <s v="USD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42.859916782246884"/>
    <s v="live"/>
    <n v="278"/>
    <n v="111.15827338129496"/>
    <s v="US"/>
    <s v="USD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83.119402985074629"/>
    <s v="failed"/>
    <n v="105"/>
    <n v="53.038095238095238"/>
    <s v="US"/>
    <s v="USD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s v="canceled"/>
    <n v="1658"/>
    <n v="55.985524728588658"/>
    <s v="US"/>
    <s v="USD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14.09352517985612"/>
    <s v="successful"/>
    <n v="2266"/>
    <n v="69.986760812003524"/>
    <s v="US"/>
    <s v="USD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s v="failed"/>
    <n v="2604"/>
    <n v="48.998079877112133"/>
    <s v="DK"/>
    <s v="DKK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s v="failed"/>
    <n v="65"/>
    <n v="103.84615384615384"/>
    <s v="US"/>
    <s v="USD"/>
    <n v="1479103200"/>
    <n v="1479794400"/>
    <b v="0"/>
    <b v="0"/>
    <x v="3"/>
    <x v="3"/>
    <s v="theater/plays"/>
  </r>
  <r>
    <n v="638"/>
    <s v="Weaver Ltd"/>
    <s v="Monitored 24/7 approach"/>
    <n v="81600"/>
    <n v="9318"/>
    <n v="11.419117647058824"/>
    <s v="failed"/>
    <n v="94"/>
    <n v="99.127659574468083"/>
    <s v="US"/>
    <s v="USD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56.186046511627907"/>
    <s v="live"/>
    <n v="45"/>
    <n v="107.37777777777778"/>
    <s v="US"/>
    <s v="USD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s v="failed"/>
    <n v="257"/>
    <n v="76.922178988326849"/>
    <s v="US"/>
    <s v="USD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s v="successful"/>
    <n v="194"/>
    <n v="58.128865979381445"/>
    <s v="CH"/>
    <s v="CHF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s v="successful"/>
    <n v="129"/>
    <n v="103.73643410852713"/>
    <s v="CA"/>
    <s v="CAD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21.38255033557047"/>
    <s v="successful"/>
    <n v="375"/>
    <n v="87.962666666666664"/>
    <s v="US"/>
    <s v="USD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48.396694214876035"/>
    <s v="failed"/>
    <n v="2928"/>
    <n v="28"/>
    <s v="CA"/>
    <s v="CAD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s v="failed"/>
    <n v="4697"/>
    <n v="37.999361294443261"/>
    <s v="US"/>
    <s v="USD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88.599797365754824"/>
    <s v="failed"/>
    <n v="2915"/>
    <n v="29.999313893653515"/>
    <s v="US"/>
    <s v="USD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s v="failed"/>
    <n v="18"/>
    <n v="103.5"/>
    <s v="US"/>
    <s v="USD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s v="canceled"/>
    <n v="723"/>
    <n v="85.994467496542185"/>
    <s v="US"/>
    <s v="USD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48.482333607230892"/>
    <s v="failed"/>
    <n v="602"/>
    <n v="98.011627906976742"/>
    <s v="CH"/>
    <s v="CHF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2"/>
    <s v="failed"/>
    <n v="1"/>
    <n v="2"/>
    <s v="US"/>
    <s v="USD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88.47941026944585"/>
    <s v="failed"/>
    <n v="3868"/>
    <n v="44.994570837642193"/>
    <s v="IT"/>
    <s v="EUR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s v="successful"/>
    <n v="409"/>
    <n v="31.012224938875306"/>
    <s v="US"/>
    <s v="USD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38.833333333333"/>
    <s v="successful"/>
    <n v="234"/>
    <n v="59.970085470085472"/>
    <s v="US"/>
    <s v="USD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s v="successful"/>
    <n v="3016"/>
    <n v="58.9973474801061"/>
    <s v="US"/>
    <s v="USD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s v="successful"/>
    <n v="264"/>
    <n v="50.045454545454547"/>
    <s v="US"/>
    <s v="USD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s v="failed"/>
    <n v="504"/>
    <n v="98.966269841269835"/>
    <s v="AU"/>
    <s v="AUD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s v="failed"/>
    <n v="14"/>
    <n v="58.857142857142854"/>
    <s v="US"/>
    <s v="USD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s v="canceled"/>
    <n v="390"/>
    <n v="81.010256410256417"/>
    <s v="US"/>
    <s v="USD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47.232808616404313"/>
    <s v="failed"/>
    <n v="750"/>
    <n v="76.013333333333335"/>
    <s v="GB"/>
    <s v="GBP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s v="failed"/>
    <n v="77"/>
    <n v="96.597402597402592"/>
    <s v="US"/>
    <s v="USD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54.187265917603"/>
    <s v="failed"/>
    <n v="752"/>
    <n v="76.957446808510639"/>
    <s v="DK"/>
    <s v="DKK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97.868131868131869"/>
    <s v="failed"/>
    <n v="131"/>
    <n v="67.984732824427482"/>
    <s v="US"/>
    <s v="USD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s v="failed"/>
    <n v="87"/>
    <n v="88.781609195402297"/>
    <s v="US"/>
    <s v="USD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33.464735516372798"/>
    <s v="failed"/>
    <n v="1063"/>
    <n v="24.99623706491063"/>
    <s v="US"/>
    <s v="USD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39.58823529411765"/>
    <s v="successful"/>
    <n v="272"/>
    <n v="44.922794117647058"/>
    <s v="US"/>
    <s v="USD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s v="canceled"/>
    <n v="25"/>
    <n v="79.400000000000006"/>
    <s v="US"/>
    <s v="USD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76.15942028985506"/>
    <s v="successful"/>
    <n v="419"/>
    <n v="29.009546539379475"/>
    <s v="US"/>
    <s v="USD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s v="failed"/>
    <n v="76"/>
    <n v="73.59210526315789"/>
    <s v="US"/>
    <s v="USD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s v="successful"/>
    <n v="1621"/>
    <n v="107.97038864898211"/>
    <s v="IT"/>
    <s v="EUR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s v="successful"/>
    <n v="1101"/>
    <n v="68.987284287011803"/>
    <s v="US"/>
    <s v="USD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s v="successful"/>
    <n v="1073"/>
    <n v="111.02236719478098"/>
    <s v="US"/>
    <s v="USD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55.931783729156137"/>
    <s v="failed"/>
    <n v="4428"/>
    <n v="24.997515808491418"/>
    <s v="AU"/>
    <s v="AUD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43.660714285714285"/>
    <s v="failed"/>
    <n v="58"/>
    <n v="42.155172413793103"/>
    <s v="IT"/>
    <s v="EUR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33.53837141183363"/>
    <s v="canceled"/>
    <n v="1218"/>
    <n v="47.003284072249592"/>
    <s v="US"/>
    <s v="USD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s v="successful"/>
    <n v="331"/>
    <n v="36.0392749244713"/>
    <s v="US"/>
    <s v="USD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s v="successful"/>
    <n v="1170"/>
    <n v="101.03760683760684"/>
    <s v="US"/>
    <s v="USD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s v="failed"/>
    <n v="111"/>
    <n v="39.927927927927925"/>
    <s v="US"/>
    <s v="USD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s v="canceled"/>
    <n v="215"/>
    <n v="83.158139534883716"/>
    <s v="US"/>
    <s v="USD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s v="successful"/>
    <n v="363"/>
    <n v="39.97520661157025"/>
    <s v="US"/>
    <s v="USD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s v="failed"/>
    <n v="2955"/>
    <n v="47.993908629441627"/>
    <s v="US"/>
    <s v="USD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s v="failed"/>
    <n v="1657"/>
    <n v="95.978877489438744"/>
    <s v="US"/>
    <s v="USD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50.16666666666666"/>
    <s v="successful"/>
    <n v="103"/>
    <n v="78.728155339805824"/>
    <s v="US"/>
    <s v="USD"/>
    <n v="1386741600"/>
    <n v="1387519200"/>
    <b v="0"/>
    <b v="0"/>
    <x v="3"/>
    <x v="3"/>
    <s v="theater/plays"/>
  </r>
  <r>
    <n v="683"/>
    <s v="Jones PLC"/>
    <s v="Virtual systemic intranet"/>
    <n v="2300"/>
    <n v="8244"/>
    <n v="358.43478260869563"/>
    <s v="successful"/>
    <n v="147"/>
    <n v="56.081632653061227"/>
    <s v="US"/>
    <s v="USD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42.85714285714289"/>
    <s v="successful"/>
    <n v="110"/>
    <n v="69.090909090909093"/>
    <s v="CA"/>
    <s v="CAD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67.500714285714281"/>
    <s v="failed"/>
    <n v="926"/>
    <n v="102.05291576673866"/>
    <s v="CA"/>
    <s v="CAD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91.74666666666667"/>
    <s v="successful"/>
    <n v="134"/>
    <n v="107.32089552238806"/>
    <s v="US"/>
    <s v="USD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s v="successful"/>
    <n v="269"/>
    <n v="51.970260223048328"/>
    <s v="US"/>
    <s v="USD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s v="successful"/>
    <n v="175"/>
    <n v="71.137142857142862"/>
    <s v="US"/>
    <s v="USD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00.65753424657535"/>
    <s v="successful"/>
    <n v="69"/>
    <n v="106.49275362318841"/>
    <s v="US"/>
    <s v="USD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26.61111111111109"/>
    <s v="successful"/>
    <n v="190"/>
    <n v="42.93684210526316"/>
    <s v="US"/>
    <s v="USD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s v="successful"/>
    <n v="237"/>
    <n v="30.037974683544302"/>
    <s v="US"/>
    <s v="USD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s v="failed"/>
    <n v="77"/>
    <n v="70.623376623376629"/>
    <s v="GB"/>
    <s v="GBP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63.966740576496676"/>
    <s v="failed"/>
    <n v="1748"/>
    <n v="66.016018306636155"/>
    <s v="US"/>
    <s v="USD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84.131868131868131"/>
    <s v="failed"/>
    <n v="79"/>
    <n v="96.911392405063296"/>
    <s v="US"/>
    <s v="USD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s v="successful"/>
    <n v="196"/>
    <n v="62.867346938775512"/>
    <s v="IT"/>
    <s v="EUR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59.042047531992694"/>
    <s v="failed"/>
    <n v="889"/>
    <n v="108.98537682789652"/>
    <s v="US"/>
    <s v="USD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62063615205"/>
    <s v="successful"/>
    <n v="7295"/>
    <n v="26.999314599040439"/>
    <s v="US"/>
    <s v="USD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s v="successful"/>
    <n v="2893"/>
    <n v="65.004147943311438"/>
    <s v="CA"/>
    <s v="CAD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84.391891891891888"/>
    <s v="failed"/>
    <n v="56"/>
    <n v="111.51785714285714"/>
    <s v="US"/>
    <s v="USD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s v="failed"/>
    <n v="1"/>
    <n v="3"/>
    <s v="US"/>
    <s v="USD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s v="successful"/>
    <n v="820"/>
    <n v="110.99268292682927"/>
    <s v="US"/>
    <s v="USD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54.137931034482754"/>
    <s v="failed"/>
    <n v="83"/>
    <n v="56.746987951807228"/>
    <s v="US"/>
    <s v="USD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11.87381703470032"/>
    <s v="successful"/>
    <n v="2038"/>
    <n v="97.020608439646708"/>
    <s v="US"/>
    <s v="USD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s v="successful"/>
    <n v="116"/>
    <n v="92.08620689655173"/>
    <s v="US"/>
    <s v="USD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99.026517383618156"/>
    <s v="failed"/>
    <n v="2025"/>
    <n v="82.986666666666665"/>
    <s v="GB"/>
    <s v="GBP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s v="successful"/>
    <n v="1345"/>
    <n v="103.03791821561339"/>
    <s v="AU"/>
    <s v="AUD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s v="successful"/>
    <n v="168"/>
    <n v="68.922619047619051"/>
    <s v="US"/>
    <s v="USD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07.05882352941171"/>
    <s v="successful"/>
    <n v="137"/>
    <n v="87.737226277372258"/>
    <s v="CH"/>
    <s v="CHF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s v="successful"/>
    <n v="186"/>
    <n v="75.021505376344081"/>
    <s v="IT"/>
    <s v="EUR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s v="successful"/>
    <n v="125"/>
    <n v="50.863999999999997"/>
    <s v="US"/>
    <s v="USD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s v="failed"/>
    <n v="14"/>
    <n v="90"/>
    <s v="IT"/>
    <s v="EUR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40.625"/>
    <s v="successful"/>
    <n v="202"/>
    <n v="72.896039603960389"/>
    <s v="US"/>
    <s v="USD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61.94202898550725"/>
    <s v="successful"/>
    <n v="103"/>
    <n v="108.48543689320388"/>
    <s v="US"/>
    <s v="USD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s v="successful"/>
    <n v="1785"/>
    <n v="101.98095238095237"/>
    <s v="US"/>
    <s v="USD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24.466101694915253"/>
    <s v="failed"/>
    <n v="656"/>
    <n v="44.009146341463413"/>
    <s v="US"/>
    <s v="USD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s v="successful"/>
    <n v="157"/>
    <n v="65.942675159235662"/>
    <s v="US"/>
    <s v="USD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s v="successful"/>
    <n v="555"/>
    <n v="24.987387387387386"/>
    <s v="US"/>
    <s v="USD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s v="successful"/>
    <n v="297"/>
    <n v="28.003367003367003"/>
    <s v="US"/>
    <s v="USD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s v="successful"/>
    <n v="123"/>
    <n v="85.829268292682926"/>
    <s v="US"/>
    <s v="USD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s v="canceled"/>
    <n v="38"/>
    <n v="84.921052631578945"/>
    <s v="DK"/>
    <s v="DKK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3"/>
    <s v="canceled"/>
    <n v="60"/>
    <n v="90.483333333333334"/>
    <s v="US"/>
    <s v="USD"/>
    <n v="1522818000"/>
    <n v="1523336400"/>
    <b v="0"/>
    <b v="0"/>
    <x v="1"/>
    <x v="1"/>
    <s v="music/rock"/>
  </r>
  <r>
    <n v="722"/>
    <s v="Thomas-Simmons"/>
    <s v="Proactive 24hour frame"/>
    <n v="48500"/>
    <n v="75906"/>
    <n v="156.50721649484535"/>
    <s v="successful"/>
    <n v="3036"/>
    <n v="25.00197628458498"/>
    <s v="US"/>
    <s v="USD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s v="successful"/>
    <n v="144"/>
    <n v="92.013888888888886"/>
    <s v="AU"/>
    <s v="AUD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34.05952380952382"/>
    <s v="successful"/>
    <n v="121"/>
    <n v="93.066115702479337"/>
    <s v="GB"/>
    <s v="GBP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50.398033126293996"/>
    <s v="failed"/>
    <n v="1596"/>
    <n v="61.008145363408524"/>
    <s v="US"/>
    <s v="USD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s v="canceled"/>
    <n v="524"/>
    <n v="92.036259541984734"/>
    <s v="US"/>
    <s v="USD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s v="successful"/>
    <n v="181"/>
    <n v="81.132596685082873"/>
    <s v="US"/>
    <s v="USD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s v="failed"/>
    <n v="10"/>
    <n v="73.5"/>
    <s v="US"/>
    <s v="USD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85.66071428571428"/>
    <s v="successful"/>
    <n v="122"/>
    <n v="85.221311475409834"/>
    <s v="US"/>
    <s v="USD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12.6631944444444"/>
    <s v="successful"/>
    <n v="1071"/>
    <n v="110.96825396825396"/>
    <s v="CA"/>
    <s v="CAD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s v="canceled"/>
    <n v="219"/>
    <n v="32.968036529680369"/>
    <s v="US"/>
    <s v="USD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s v="failed"/>
    <n v="1121"/>
    <n v="96.005352363960753"/>
    <s v="US"/>
    <s v="USD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27.00632911392404"/>
    <s v="successful"/>
    <n v="980"/>
    <n v="84.96632653061225"/>
    <s v="US"/>
    <s v="USD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19.14285714285711"/>
    <s v="successful"/>
    <n v="536"/>
    <n v="25.007462686567163"/>
    <s v="US"/>
    <s v="USD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54.18867924528303"/>
    <s v="successful"/>
    <n v="1991"/>
    <n v="65.998995479658461"/>
    <s v="US"/>
    <s v="USD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s v="canceled"/>
    <n v="29"/>
    <n v="87.34482758620689"/>
    <s v="US"/>
    <s v="USD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s v="successful"/>
    <n v="180"/>
    <n v="27.933333333333334"/>
    <s v="US"/>
    <s v="USD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5"/>
    <s v="failed"/>
    <n v="15"/>
    <n v="103.8"/>
    <s v="US"/>
    <s v="USD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61"/>
    <s v="failed"/>
    <n v="191"/>
    <n v="31.937172774869111"/>
    <s v="US"/>
    <s v="USD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s v="failed"/>
    <n v="16"/>
    <n v="99.5"/>
    <s v="US"/>
    <s v="USD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79.1666666666665"/>
    <s v="successful"/>
    <n v="130"/>
    <n v="108.84615384615384"/>
    <s v="US"/>
    <s v="USD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26.0833333333335"/>
    <s v="successful"/>
    <n v="122"/>
    <n v="110.76229508196721"/>
    <s v="US"/>
    <s v="USD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s v="failed"/>
    <n v="17"/>
    <n v="29.647058823529413"/>
    <s v="US"/>
    <s v="USD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12"/>
    <s v="successful"/>
    <n v="140"/>
    <n v="101.71428571428571"/>
    <s v="US"/>
    <s v="USD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s v="failed"/>
    <n v="34"/>
    <n v="61.5"/>
    <s v="US"/>
    <s v="USD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12.50896057347671"/>
    <s v="successful"/>
    <n v="3388"/>
    <n v="35"/>
    <s v="US"/>
    <s v="USD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28.85714285714286"/>
    <s v="successful"/>
    <n v="280"/>
    <n v="40.049999999999997"/>
    <s v="US"/>
    <s v="USD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34.959979476654695"/>
    <s v="canceled"/>
    <n v="614"/>
    <n v="110.97231270358306"/>
    <s v="US"/>
    <s v="USD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s v="successful"/>
    <n v="366"/>
    <n v="36.959016393442624"/>
    <s v="IT"/>
    <s v="EUR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s v="failed"/>
    <n v="1"/>
    <n v="1"/>
    <s v="GB"/>
    <s v="GBP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32.30555555555554"/>
    <s v="successful"/>
    <n v="270"/>
    <n v="30.974074074074075"/>
    <s v="US"/>
    <s v="USD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92.448275862068968"/>
    <s v="canceled"/>
    <n v="114"/>
    <n v="47.035087719298247"/>
    <s v="US"/>
    <s v="USD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56.70212765957444"/>
    <s v="successful"/>
    <n v="137"/>
    <n v="88.065693430656935"/>
    <s v="US"/>
    <s v="USD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s v="successful"/>
    <n v="3205"/>
    <n v="37.005616224648989"/>
    <s v="US"/>
    <s v="USD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66.57777777777778"/>
    <s v="successful"/>
    <n v="288"/>
    <n v="26.027777777777779"/>
    <s v="DK"/>
    <s v="DKK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s v="successful"/>
    <n v="148"/>
    <n v="67.817567567567565"/>
    <s v="US"/>
    <s v="USD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06.85714285714283"/>
    <s v="successful"/>
    <n v="114"/>
    <n v="49.964912280701753"/>
    <s v="US"/>
    <s v="USD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64.20608108108115"/>
    <s v="successful"/>
    <n v="1518"/>
    <n v="110.01646903820817"/>
    <s v="CA"/>
    <s v="CAD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68.426865671641792"/>
    <s v="failed"/>
    <n v="1274"/>
    <n v="89.964678178963894"/>
    <s v="US"/>
    <s v="USD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34.351966873706004"/>
    <s v="failed"/>
    <n v="210"/>
    <n v="79.009523809523813"/>
    <s v="IT"/>
    <s v="EUR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55.4545454545455"/>
    <s v="successful"/>
    <n v="166"/>
    <n v="86.867469879518069"/>
    <s v="US"/>
    <s v="USD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77.25714285714284"/>
    <s v="successful"/>
    <n v="100"/>
    <n v="62.04"/>
    <s v="AU"/>
    <s v="AUD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13.17857142857144"/>
    <s v="successful"/>
    <n v="235"/>
    <n v="26.970212765957445"/>
    <s v="US"/>
    <s v="USD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28.18181818181824"/>
    <s v="successful"/>
    <n v="148"/>
    <n v="54.121621621621621"/>
    <s v="US"/>
    <s v="USD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08.33333333333334"/>
    <s v="successful"/>
    <n v="198"/>
    <n v="41.035353535353536"/>
    <s v="US"/>
    <s v="USD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s v="failed"/>
    <n v="248"/>
    <n v="55.052419354838712"/>
    <s v="AU"/>
    <s v="AUD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s v="failed"/>
    <n v="513"/>
    <n v="107.93762183235867"/>
    <s v="US"/>
    <s v="USD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s v="successful"/>
    <n v="150"/>
    <n v="73.92"/>
    <s v="US"/>
    <s v="USD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86.867834394904463"/>
    <s v="failed"/>
    <n v="3410"/>
    <n v="31.995894428152493"/>
    <s v="US"/>
    <s v="USD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s v="successful"/>
    <n v="216"/>
    <n v="53.898148148148145"/>
    <s v="IT"/>
    <s v="EUR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s v="canceled"/>
    <n v="26"/>
    <n v="106.5"/>
    <s v="US"/>
    <s v="USD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13.3596256684492"/>
    <s v="successful"/>
    <n v="5139"/>
    <n v="32.999805409612762"/>
    <s v="US"/>
    <s v="USD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s v="successful"/>
    <n v="2353"/>
    <n v="43.00254993625159"/>
    <s v="US"/>
    <s v="USD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35.5"/>
    <s v="successful"/>
    <n v="78"/>
    <n v="86.858974358974365"/>
    <s v="IT"/>
    <s v="EUR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10.297872340425531"/>
    <s v="failed"/>
    <n v="10"/>
    <n v="96.8"/>
    <s v="US"/>
    <s v="USD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65.544223826714799"/>
    <s v="failed"/>
    <n v="2201"/>
    <n v="32.995456610631528"/>
    <s v="US"/>
    <s v="USD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49.026652452025587"/>
    <s v="failed"/>
    <n v="676"/>
    <n v="68.028106508875737"/>
    <s v="US"/>
    <s v="USD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87.92307692307691"/>
    <s v="successful"/>
    <n v="174"/>
    <n v="58.867816091954026"/>
    <s v="CH"/>
    <s v="CHF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s v="failed"/>
    <n v="831"/>
    <n v="105.04572803850782"/>
    <s v="US"/>
    <s v="USD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06.29411764705883"/>
    <s v="successful"/>
    <n v="164"/>
    <n v="33.054878048780488"/>
    <s v="US"/>
    <s v="USD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50.735632183908038"/>
    <s v="canceled"/>
    <n v="56"/>
    <n v="78.821428571428569"/>
    <s v="CH"/>
    <s v="CHF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15.31372549019611"/>
    <s v="successful"/>
    <n v="161"/>
    <n v="68.204968944099377"/>
    <s v="US"/>
    <s v="USD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s v="successful"/>
    <n v="138"/>
    <n v="75.731884057971016"/>
    <s v="US"/>
    <s v="USD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15.33745781777279"/>
    <s v="successful"/>
    <n v="3308"/>
    <n v="30.996070133010882"/>
    <s v="US"/>
    <s v="USD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s v="successful"/>
    <n v="127"/>
    <n v="101.88188976377953"/>
    <s v="AU"/>
    <s v="AUD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s v="successful"/>
    <n v="207"/>
    <n v="52.879227053140099"/>
    <s v="IT"/>
    <s v="EUR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99.66339869281046"/>
    <s v="failed"/>
    <n v="859"/>
    <n v="71.005820721769496"/>
    <s v="CA"/>
    <s v="CAD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88.166666666666671"/>
    <s v="live"/>
    <n v="31"/>
    <n v="102.38709677419355"/>
    <s v="US"/>
    <s v="USD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s v="failed"/>
    <n v="45"/>
    <n v="74.466666666666669"/>
    <s v="US"/>
    <s v="USD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30.540075309306079"/>
    <s v="canceled"/>
    <n v="1113"/>
    <n v="51.009883198562441"/>
    <s v="US"/>
    <s v="USD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25.714285714285712"/>
    <s v="failed"/>
    <n v="6"/>
    <n v="90"/>
    <s v="US"/>
    <s v="USD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s v="failed"/>
    <n v="7"/>
    <n v="97.142857142857139"/>
    <s v="US"/>
    <s v="USD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s v="successful"/>
    <n v="181"/>
    <n v="72.071823204419886"/>
    <s v="CH"/>
    <s v="CHF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25.39393939393939"/>
    <s v="successful"/>
    <n v="110"/>
    <n v="75.236363636363635"/>
    <s v="US"/>
    <s v="USD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14.394366197183098"/>
    <s v="failed"/>
    <n v="31"/>
    <n v="32.967741935483872"/>
    <s v="US"/>
    <s v="USD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s v="failed"/>
    <n v="78"/>
    <n v="54.807692307692307"/>
    <s v="US"/>
    <s v="USD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s v="successful"/>
    <n v="185"/>
    <n v="45.037837837837834"/>
    <s v="US"/>
    <s v="USD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88.47058823529412"/>
    <s v="successful"/>
    <n v="121"/>
    <n v="52.958677685950413"/>
    <s v="US"/>
    <s v="USD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87.008284023668637"/>
    <s v="failed"/>
    <n v="1225"/>
    <n v="60.017959183673469"/>
    <s v="GB"/>
    <s v="GBP"/>
    <n v="1454133600"/>
    <n v="1454479200"/>
    <b v="0"/>
    <b v="0"/>
    <x v="3"/>
    <x v="3"/>
    <s v="theater/plays"/>
  </r>
  <r>
    <n v="800"/>
    <s v="Wallace LLC"/>
    <s v="Centralized regional function"/>
    <n v="100"/>
    <n v="1"/>
    <n v="1"/>
    <s v="failed"/>
    <n v="1"/>
    <n v="1"/>
    <s v="CH"/>
    <s v="CHF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02.9130434782609"/>
    <s v="successful"/>
    <n v="106"/>
    <n v="44.028301886792455"/>
    <s v="US"/>
    <s v="USD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s v="successful"/>
    <n v="142"/>
    <n v="86.028169014084511"/>
    <s v="US"/>
    <s v="USD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s v="successful"/>
    <n v="233"/>
    <n v="28.012875536480685"/>
    <s v="US"/>
    <s v="USD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68.73076923076923"/>
    <s v="successful"/>
    <n v="218"/>
    <n v="32.050458715596328"/>
    <s v="US"/>
    <s v="USD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50.845360824742272"/>
    <s v="failed"/>
    <n v="67"/>
    <n v="73.611940298507463"/>
    <s v="AU"/>
    <s v="AUD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80.2857142857142"/>
    <s v="successful"/>
    <n v="76"/>
    <n v="108.71052631578948"/>
    <s v="US"/>
    <s v="USD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64"/>
    <s v="successful"/>
    <n v="43"/>
    <n v="42.97674418604651"/>
    <s v="US"/>
    <s v="USD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230769230769"/>
    <s v="failed"/>
    <n v="19"/>
    <n v="83.315789473684205"/>
    <s v="US"/>
    <s v="USD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62.880681818181813"/>
    <s v="failed"/>
    <n v="2108"/>
    <n v="42"/>
    <s v="CH"/>
    <s v="CHF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s v="successful"/>
    <n v="221"/>
    <n v="55.927601809954751"/>
    <s v="US"/>
    <s v="USD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77.102702702702715"/>
    <s v="failed"/>
    <n v="679"/>
    <n v="105.03681885125184"/>
    <s v="US"/>
    <s v="USD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25.52763819095478"/>
    <s v="successful"/>
    <n v="2805"/>
    <n v="48"/>
    <s v="CA"/>
    <s v="CAD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39.40625"/>
    <s v="successful"/>
    <n v="68"/>
    <n v="112.66176470588235"/>
    <s v="US"/>
    <s v="USD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92.1875"/>
    <s v="failed"/>
    <n v="36"/>
    <n v="81.944444444444443"/>
    <s v="DK"/>
    <s v="DKK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30.23333333333335"/>
    <s v="successful"/>
    <n v="183"/>
    <n v="64.049180327868854"/>
    <s v="CA"/>
    <s v="CAD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s v="successful"/>
    <n v="133"/>
    <n v="106.39097744360902"/>
    <s v="US"/>
    <s v="USD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68.79532163742692"/>
    <s v="successful"/>
    <n v="2489"/>
    <n v="76.011249497790274"/>
    <s v="IT"/>
    <s v="EUR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94.8571428571429"/>
    <s v="successful"/>
    <n v="69"/>
    <n v="111.07246376811594"/>
    <s v="US"/>
    <s v="USD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50.662921348314605"/>
    <s v="failed"/>
    <n v="47"/>
    <n v="95.936170212765958"/>
    <s v="US"/>
    <s v="USD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s v="successful"/>
    <n v="279"/>
    <n v="43.043010752688176"/>
    <s v="GB"/>
    <s v="GBP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91.28571428571428"/>
    <s v="successful"/>
    <n v="210"/>
    <n v="67.966666666666669"/>
    <s v="US"/>
    <s v="USD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s v="successful"/>
    <n v="2100"/>
    <n v="89.991428571428571"/>
    <s v="US"/>
    <s v="USD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57.07317073170731"/>
    <s v="successful"/>
    <n v="252"/>
    <n v="58.095238095238095"/>
    <s v="US"/>
    <s v="USD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s v="successful"/>
    <n v="1280"/>
    <n v="83.996875000000003"/>
    <s v="US"/>
    <s v="USD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s v="successful"/>
    <n v="157"/>
    <n v="88.853503184713375"/>
    <s v="GB"/>
    <s v="GBP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s v="successful"/>
    <n v="194"/>
    <n v="65.963917525773198"/>
    <s v="US"/>
    <s v="USD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s v="successful"/>
    <n v="82"/>
    <n v="74.804878048780495"/>
    <s v="AU"/>
    <s v="AUD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s v="failed"/>
    <n v="70"/>
    <n v="69.98571428571428"/>
    <s v="US"/>
    <s v="USD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51.34375"/>
    <s v="failed"/>
    <n v="154"/>
    <n v="32.006493506493506"/>
    <s v="US"/>
    <s v="USD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s v="failed"/>
    <n v="22"/>
    <n v="64.727272727272734"/>
    <s v="US"/>
    <s v="USD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08.97734294541709"/>
    <s v="successful"/>
    <n v="4233"/>
    <n v="24.998110087408456"/>
    <s v="US"/>
    <s v="USD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s v="successful"/>
    <n v="1297"/>
    <n v="104.97764070932922"/>
    <s v="DK"/>
    <s v="DKK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s v="successful"/>
    <n v="165"/>
    <n v="64.987878787878785"/>
    <s v="DK"/>
    <s v="DKK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s v="successful"/>
    <n v="119"/>
    <n v="94.352941176470594"/>
    <s v="US"/>
    <s v="USD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89.738979118329468"/>
    <s v="failed"/>
    <n v="1758"/>
    <n v="44.001706484641637"/>
    <s v="US"/>
    <s v="USD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75.135802469135797"/>
    <s v="failed"/>
    <n v="94"/>
    <n v="64.744680851063833"/>
    <s v="US"/>
    <s v="USD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52.88135593220341"/>
    <s v="successful"/>
    <n v="1797"/>
    <n v="84.00667779632721"/>
    <s v="US"/>
    <s v="USD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38.90625"/>
    <s v="successful"/>
    <n v="261"/>
    <n v="34.061302681992338"/>
    <s v="US"/>
    <s v="USD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90.18181818181819"/>
    <s v="successful"/>
    <n v="157"/>
    <n v="93.273885350318466"/>
    <s v="US"/>
    <s v="USD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s v="successful"/>
    <n v="3533"/>
    <n v="32.998301726577978"/>
    <s v="US"/>
    <s v="USD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s v="successful"/>
    <n v="155"/>
    <n v="83.812903225806451"/>
    <s v="US"/>
    <s v="USD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s v="successful"/>
    <n v="132"/>
    <n v="63.992424242424242"/>
    <s v="IT"/>
    <s v="EUR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s v="failed"/>
    <n v="33"/>
    <n v="81.909090909090907"/>
    <s v="US"/>
    <s v="USD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s v="canceled"/>
    <n v="94"/>
    <n v="93.053191489361708"/>
    <s v="US"/>
    <s v="USD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s v="successful"/>
    <n v="1354"/>
    <n v="101.98449039881831"/>
    <s v="GB"/>
    <s v="GBP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s v="successful"/>
    <n v="48"/>
    <n v="105.9375"/>
    <s v="US"/>
    <s v="USD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37.74468085106383"/>
    <s v="successful"/>
    <n v="110"/>
    <n v="101.58181818181818"/>
    <s v="US"/>
    <s v="USD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6875"/>
    <s v="successful"/>
    <n v="172"/>
    <n v="62.970930232558139"/>
    <s v="US"/>
    <s v="USD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s v="successful"/>
    <n v="307"/>
    <n v="29.045602605863191"/>
    <s v="US"/>
    <s v="USD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s v="failed"/>
    <n v="1"/>
    <n v="1"/>
    <s v="US"/>
    <s v="USD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07.79999999999998"/>
    <s v="successful"/>
    <n v="160"/>
    <n v="77.924999999999997"/>
    <s v="US"/>
    <s v="USD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51.122448979591837"/>
    <s v="failed"/>
    <n v="31"/>
    <n v="80.806451612903231"/>
    <s v="US"/>
    <s v="USD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52.05847953216369"/>
    <s v="successful"/>
    <n v="1467"/>
    <n v="76.006816632583508"/>
    <s v="CA"/>
    <s v="CAD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s v="successful"/>
    <n v="2662"/>
    <n v="72.993613824192337"/>
    <s v="CA"/>
    <s v="CAD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02.37606837606839"/>
    <s v="successful"/>
    <n v="452"/>
    <n v="53"/>
    <s v="AU"/>
    <s v="AUD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56.58333333333331"/>
    <s v="successful"/>
    <n v="158"/>
    <n v="54.164556962025316"/>
    <s v="US"/>
    <s v="USD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s v="successful"/>
    <n v="225"/>
    <n v="32.946666666666665"/>
    <s v="CH"/>
    <s v="CHF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s v="failed"/>
    <n v="35"/>
    <n v="79.371428571428567"/>
    <s v="US"/>
    <s v="USD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35.534246575342465"/>
    <s v="failed"/>
    <n v="63"/>
    <n v="41.174603174603178"/>
    <s v="US"/>
    <s v="USD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s v="successful"/>
    <n v="65"/>
    <n v="77.430769230769229"/>
    <s v="US"/>
    <s v="USD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s v="successful"/>
    <n v="163"/>
    <n v="57.159509202453989"/>
    <s v="US"/>
    <s v="USD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87.42857142857144"/>
    <s v="successful"/>
    <n v="85"/>
    <n v="77.17647058823529"/>
    <s v="US"/>
    <s v="USD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86.78571428571428"/>
    <s v="successful"/>
    <n v="217"/>
    <n v="24.953917050691246"/>
    <s v="US"/>
    <s v="USD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s v="successful"/>
    <n v="150"/>
    <n v="97.18"/>
    <s v="US"/>
    <s v="USD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s v="successful"/>
    <n v="3272"/>
    <n v="46.000916870415651"/>
    <s v="US"/>
    <s v="USD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43.241247264770237"/>
    <s v="canceled"/>
    <n v="898"/>
    <n v="88.023385300668153"/>
    <s v="US"/>
    <s v="USD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s v="successful"/>
    <n v="300"/>
    <n v="25.99"/>
    <s v="US"/>
    <s v="USD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s v="successful"/>
    <n v="126"/>
    <n v="102.69047619047619"/>
    <s v="US"/>
    <s v="USD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23.703520691785052"/>
    <s v="failed"/>
    <n v="526"/>
    <n v="72.958174904942965"/>
    <s v="US"/>
    <s v="USD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0129870129873"/>
    <s v="failed"/>
    <n v="121"/>
    <n v="57.190082644628099"/>
    <s v="US"/>
    <s v="USD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s v="successful"/>
    <n v="2320"/>
    <n v="84.013793103448279"/>
    <s v="US"/>
    <s v="USD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70.04255319148936"/>
    <s v="successful"/>
    <n v="81"/>
    <n v="98.666666666666671"/>
    <s v="AU"/>
    <s v="AUD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s v="successful"/>
    <n v="1887"/>
    <n v="42.007419183889773"/>
    <s v="US"/>
    <s v="USD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s v="successful"/>
    <n v="4358"/>
    <n v="32.002753556677376"/>
    <s v="US"/>
    <s v="USD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s v="failed"/>
    <n v="67"/>
    <n v="81.567164179104481"/>
    <s v="US"/>
    <s v="USD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s v="failed"/>
    <n v="57"/>
    <n v="37.035087719298247"/>
    <s v="CA"/>
    <s v="CAD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s v="failed"/>
    <n v="1229"/>
    <n v="103.033360455655"/>
    <s v="US"/>
    <s v="USD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37.481481481481481"/>
    <s v="failed"/>
    <n v="12"/>
    <n v="84.333333333333329"/>
    <s v="IT"/>
    <s v="EUR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s v="successful"/>
    <n v="53"/>
    <n v="102.60377358490567"/>
    <s v="US"/>
    <s v="USD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s v="successful"/>
    <n v="2414"/>
    <n v="79.992129246064621"/>
    <s v="US"/>
    <s v="USD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38.948339483394832"/>
    <s v="failed"/>
    <n v="452"/>
    <n v="70.055309734513273"/>
    <s v="US"/>
    <s v="USD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70"/>
    <s v="successful"/>
    <n v="80"/>
    <n v="37"/>
    <s v="US"/>
    <s v="USD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s v="successful"/>
    <n v="193"/>
    <n v="41.911917098445599"/>
    <s v="US"/>
    <s v="USD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s v="failed"/>
    <n v="1886"/>
    <n v="57.992576882290564"/>
    <s v="US"/>
    <s v="USD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18.27777777777777"/>
    <s v="successful"/>
    <n v="52"/>
    <n v="40.942307692307693"/>
    <s v="US"/>
    <s v="USD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84.824037184594957"/>
    <s v="failed"/>
    <n v="1825"/>
    <n v="69.9972602739726"/>
    <s v="US"/>
    <s v="USD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29.346153846153843"/>
    <s v="failed"/>
    <n v="31"/>
    <n v="73.838709677419359"/>
    <s v="US"/>
    <s v="USD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09.89655172413794"/>
    <s v="successful"/>
    <n v="290"/>
    <n v="41.979310344827589"/>
    <s v="US"/>
    <s v="USD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69.78571428571431"/>
    <s v="successful"/>
    <n v="122"/>
    <n v="77.93442622950819"/>
    <s v="US"/>
    <s v="USD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s v="successful"/>
    <n v="1470"/>
    <n v="106.01972789115646"/>
    <s v="US"/>
    <s v="USD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s v="successful"/>
    <n v="165"/>
    <n v="47.018181818181816"/>
    <s v="CA"/>
    <s v="CAD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s v="successful"/>
    <n v="182"/>
    <n v="76.016483516483518"/>
    <s v="US"/>
    <s v="USD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s v="successful"/>
    <n v="199"/>
    <n v="54.120603015075375"/>
    <s v="IT"/>
    <s v="EUR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88.70588235294116"/>
    <s v="successful"/>
    <n v="56"/>
    <n v="57.285714285714285"/>
    <s v="GB"/>
    <s v="GBP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s v="failed"/>
    <n v="107"/>
    <n v="103.81308411214954"/>
    <s v="US"/>
    <s v="USD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s v="successful"/>
    <n v="1460"/>
    <n v="105.02602739726028"/>
    <s v="AU"/>
    <s v="AUD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27.693181818181817"/>
    <s v="failed"/>
    <n v="27"/>
    <n v="90.259259259259252"/>
    <s v="US"/>
    <s v="USD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52.479620323841424"/>
    <s v="failed"/>
    <n v="1221"/>
    <n v="76.978705978705975"/>
    <s v="US"/>
    <s v="USD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s v="successful"/>
    <n v="123"/>
    <n v="102.60162601626017"/>
    <s v="CH"/>
    <s v="CHF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2"/>
    <s v="failed"/>
    <n v="1"/>
    <n v="2"/>
    <s v="US"/>
    <s v="USD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56.17857142857144"/>
    <s v="successful"/>
    <n v="159"/>
    <n v="55.0062893081761"/>
    <s v="US"/>
    <s v="USD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52.42857142857144"/>
    <s v="successful"/>
    <n v="110"/>
    <n v="32.127272727272725"/>
    <s v="US"/>
    <s v="USD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s v="live"/>
    <n v="14"/>
    <n v="50.642857142857146"/>
    <s v="US"/>
    <s v="USD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s v="failed"/>
    <n v="16"/>
    <n v="49.6875"/>
    <s v="US"/>
    <s v="USD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s v="successful"/>
    <n v="236"/>
    <n v="54.894067796610166"/>
    <s v="US"/>
    <s v="USD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62.98181818181817"/>
    <s v="successful"/>
    <n v="191"/>
    <n v="46.931937172774866"/>
    <s v="US"/>
    <s v="USD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s v="failed"/>
    <n v="41"/>
    <n v="44.951219512195124"/>
    <s v="US"/>
    <s v="USD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19.24083769633506"/>
    <s v="successful"/>
    <n v="3934"/>
    <n v="30.99898322318251"/>
    <s v="US"/>
    <s v="USD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s v="successful"/>
    <n v="80"/>
    <n v="107.7625"/>
    <s v="CA"/>
    <s v="CAD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19.556634304207122"/>
    <s v="canceled"/>
    <n v="296"/>
    <n v="102.07770270270271"/>
    <s v="US"/>
    <s v="USD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s v="successful"/>
    <n v="462"/>
    <n v="24.976190476190474"/>
    <s v="US"/>
    <s v="USD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s v="successful"/>
    <n v="179"/>
    <n v="79.944134078212286"/>
    <s v="US"/>
    <s v="USD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s v="failed"/>
    <n v="523"/>
    <n v="67.946462715105156"/>
    <s v="AU"/>
    <s v="AUD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s v="failed"/>
    <n v="141"/>
    <n v="26.070921985815602"/>
    <s v="GB"/>
    <s v="GBP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55.62827640984909"/>
    <s v="successful"/>
    <n v="1866"/>
    <n v="105.0032154340836"/>
    <s v="GB"/>
    <s v="GBP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s v="failed"/>
    <n v="52"/>
    <n v="25.826923076923077"/>
    <s v="US"/>
    <s v="USD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s v="live"/>
    <n v="27"/>
    <n v="77.666666666666671"/>
    <s v="GB"/>
    <s v="GBP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37.39473684210526"/>
    <s v="successful"/>
    <n v="156"/>
    <n v="57.82692307692308"/>
    <s v="CH"/>
    <s v="CHF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s v="failed"/>
    <n v="225"/>
    <n v="92.955555555555549"/>
    <s v="AU"/>
    <s v="AUD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82.56603773584905"/>
    <s v="successful"/>
    <n v="255"/>
    <n v="37.945098039215686"/>
    <s v="US"/>
    <s v="USD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s v="failed"/>
    <n v="38"/>
    <n v="31.842105263157894"/>
    <s v="US"/>
    <s v="USD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75.95330739299609"/>
    <s v="successful"/>
    <n v="2261"/>
    <n v="40"/>
    <s v="US"/>
    <s v="USD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37.88235294117646"/>
    <s v="successful"/>
    <n v="40"/>
    <n v="101.1"/>
    <s v="US"/>
    <s v="USD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88.05076142131981"/>
    <s v="successful"/>
    <n v="2289"/>
    <n v="84.006989951944078"/>
    <s v="IT"/>
    <s v="EUR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s v="successful"/>
    <n v="65"/>
    <n v="103.41538461538461"/>
    <s v="US"/>
    <s v="USD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18.126436781609197"/>
    <s v="failed"/>
    <n v="15"/>
    <n v="105.13333333333334"/>
    <s v="US"/>
    <s v="USD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45.847222222222221"/>
    <s v="failed"/>
    <n v="37"/>
    <n v="89.21621621621621"/>
    <s v="US"/>
    <s v="USD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17.31541218637993"/>
    <s v="successful"/>
    <n v="3777"/>
    <n v="51.995234312946785"/>
    <s v="IT"/>
    <s v="EUR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17.30909090909088"/>
    <s v="successful"/>
    <n v="184"/>
    <n v="64.956521739130437"/>
    <s v="GB"/>
    <s v="GBP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s v="successful"/>
    <n v="85"/>
    <n v="46.235294117647058"/>
    <s v="US"/>
    <s v="USD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s v="failed"/>
    <n v="112"/>
    <n v="51.151785714285715"/>
    <s v="US"/>
    <s v="USD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s v="successful"/>
    <n v="144"/>
    <n v="33.909722222222221"/>
    <s v="US"/>
    <s v="USD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39.74657534246577"/>
    <s v="successful"/>
    <n v="1902"/>
    <n v="92.016298633017882"/>
    <s v="US"/>
    <s v="USD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81.93548387096774"/>
    <s v="successful"/>
    <n v="105"/>
    <n v="107.42857142857143"/>
    <s v="US"/>
    <s v="USD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s v="successful"/>
    <n v="132"/>
    <n v="75.848484848484844"/>
    <s v="US"/>
    <s v="USD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375968992248062"/>
    <s v="failed"/>
    <n v="21"/>
    <n v="80.476190476190482"/>
    <s v="US"/>
    <s v="USD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385964912281"/>
    <s v="canceled"/>
    <n v="976"/>
    <n v="86.978483606557376"/>
    <s v="US"/>
    <s v="USD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09.70652173913042"/>
    <s v="successful"/>
    <n v="96"/>
    <n v="105.13541666666667"/>
    <s v="US"/>
    <s v="USD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s v="failed"/>
    <n v="67"/>
    <n v="57.298507462686565"/>
    <s v="US"/>
    <s v="USD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62.232323232323225"/>
    <s v="live"/>
    <n v="66"/>
    <n v="93.348484848484844"/>
    <s v="CA"/>
    <s v="CAD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13.05813953488372"/>
    <s v="failed"/>
    <n v="78"/>
    <n v="71.987179487179489"/>
    <s v="US"/>
    <s v="USD"/>
    <n v="1294552800"/>
    <n v="1297576800"/>
    <b v="1"/>
    <b v="0"/>
    <x v="3"/>
    <x v="3"/>
    <s v="theater/plays"/>
  </r>
  <r>
    <n v="942"/>
    <s v="Allen Inc"/>
    <s v="Horizontal optimizing model"/>
    <n v="9600"/>
    <n v="6205"/>
    <n v="64.635416666666671"/>
    <s v="failed"/>
    <n v="67"/>
    <n v="92.611940298507463"/>
    <s v="AU"/>
    <s v="AUD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s v="successful"/>
    <n v="114"/>
    <n v="104.99122807017544"/>
    <s v="US"/>
    <s v="USD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s v="failed"/>
    <n v="263"/>
    <n v="30.958174904942965"/>
    <s v="AU"/>
    <s v="AUD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s v="failed"/>
    <n v="1691"/>
    <n v="33.001182732111175"/>
    <s v="US"/>
    <s v="USD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s v="failed"/>
    <n v="181"/>
    <n v="84.187845303867405"/>
    <s v="US"/>
    <s v="USD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26.694444444444443"/>
    <s v="failed"/>
    <n v="13"/>
    <n v="73.92307692307692"/>
    <s v="US"/>
    <s v="USD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62.957446808510639"/>
    <s v="canceled"/>
    <n v="160"/>
    <n v="36.987499999999997"/>
    <s v="US"/>
    <s v="USD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s v="successful"/>
    <n v="203"/>
    <n v="46.896551724137929"/>
    <s v="US"/>
    <s v="USD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s v="failed"/>
    <n v="1"/>
    <n v="5"/>
    <s v="US"/>
    <s v="USD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96.9379310344827"/>
    <s v="successful"/>
    <n v="1559"/>
    <n v="102.02437459910199"/>
    <s v="US"/>
    <s v="USD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70.094158075601371"/>
    <s v="canceled"/>
    <n v="2266"/>
    <n v="45.007502206531335"/>
    <s v="US"/>
    <s v="USD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s v="failed"/>
    <n v="21"/>
    <n v="94.285714285714292"/>
    <s v="US"/>
    <s v="USD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s v="successful"/>
    <n v="1548"/>
    <n v="101.02325581395348"/>
    <s v="AU"/>
    <s v="AUD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s v="successful"/>
    <n v="80"/>
    <n v="97.037499999999994"/>
    <s v="US"/>
    <s v="USD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19.028784648187631"/>
    <s v="failed"/>
    <n v="830"/>
    <n v="43.00963855421687"/>
    <s v="US"/>
    <s v="USD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s v="successful"/>
    <n v="131"/>
    <n v="94.916030534351151"/>
    <s v="US"/>
    <s v="USD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s v="successful"/>
    <n v="112"/>
    <n v="72.151785714285708"/>
    <s v="US"/>
    <s v="USD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s v="failed"/>
    <n v="130"/>
    <n v="51.007692307692309"/>
    <s v="US"/>
    <s v="USD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s v="failed"/>
    <n v="55"/>
    <n v="85.054545454545448"/>
    <s v="US"/>
    <s v="USD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s v="successful"/>
    <n v="155"/>
    <n v="43.87096774193548"/>
    <s v="US"/>
    <s v="USD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s v="successful"/>
    <n v="266"/>
    <n v="40.063909774436091"/>
    <s v="US"/>
    <s v="USD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84.694915254237287"/>
    <s v="failed"/>
    <n v="114"/>
    <n v="43.833333333333336"/>
    <s v="IT"/>
    <s v="EUR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s v="successful"/>
    <n v="155"/>
    <n v="84.92903225806451"/>
    <s v="US"/>
    <s v="USD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86.40909090909093"/>
    <s v="successful"/>
    <n v="207"/>
    <n v="41.067632850241544"/>
    <s v="GB"/>
    <s v="GBP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92.23529411764707"/>
    <s v="successful"/>
    <n v="245"/>
    <n v="54.971428571428568"/>
    <s v="US"/>
    <s v="USD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37.03393665158373"/>
    <s v="successful"/>
    <n v="1573"/>
    <n v="77.010807374443743"/>
    <s v="US"/>
    <s v="USD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s v="successful"/>
    <n v="114"/>
    <n v="71.201754385964918"/>
    <s v="US"/>
    <s v="USD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08.22784810126582"/>
    <s v="successful"/>
    <n v="93"/>
    <n v="91.935483870967744"/>
    <s v="US"/>
    <s v="USD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60.757639620653315"/>
    <s v="failed"/>
    <n v="594"/>
    <n v="97.069023569023571"/>
    <s v="US"/>
    <s v="USD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27.725490196078432"/>
    <s v="failed"/>
    <n v="24"/>
    <n v="58.916666666666664"/>
    <s v="US"/>
    <s v="USD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s v="successful"/>
    <n v="1681"/>
    <n v="58.015466983938133"/>
    <s v="US"/>
    <s v="USD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s v="failed"/>
    <n v="252"/>
    <n v="103.87301587301587"/>
    <s v="US"/>
    <s v="USD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75"/>
    <s v="successful"/>
    <n v="32"/>
    <n v="93.46875"/>
    <s v="US"/>
    <s v="USD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54.92592592592592"/>
    <s v="successful"/>
    <n v="135"/>
    <n v="61.970370370370368"/>
    <s v="US"/>
    <s v="USD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s v="successful"/>
    <n v="140"/>
    <n v="92.042857142857144"/>
    <s v="US"/>
    <s v="USD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73.957142857142856"/>
    <s v="failed"/>
    <n v="67"/>
    <n v="77.268656716417908"/>
    <s v="US"/>
    <s v="USD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s v="successful"/>
    <n v="92"/>
    <n v="93.923913043478265"/>
    <s v="US"/>
    <s v="USD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s v="successful"/>
    <n v="1015"/>
    <n v="84.969458128078813"/>
    <s v="GB"/>
    <s v="GBP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40.281762295081968"/>
    <s v="failed"/>
    <n v="742"/>
    <n v="105.97035040431267"/>
    <s v="US"/>
    <s v="USD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78.22388059701493"/>
    <s v="successful"/>
    <n v="323"/>
    <n v="36.969040247678016"/>
    <s v="US"/>
    <s v="USD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84.930555555555557"/>
    <s v="failed"/>
    <n v="75"/>
    <n v="81.533333333333331"/>
    <s v="US"/>
    <s v="USD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s v="successful"/>
    <n v="2326"/>
    <n v="80.999140154772135"/>
    <s v="US"/>
    <s v="USD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s v="successful"/>
    <n v="381"/>
    <n v="26.010498687664043"/>
    <s v="US"/>
    <s v="USD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67.129542790152414"/>
    <s v="failed"/>
    <n v="4405"/>
    <n v="25.998410896708286"/>
    <s v="US"/>
    <s v="USD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s v="failed"/>
    <n v="92"/>
    <n v="34.173913043478258"/>
    <s v="US"/>
    <s v="USD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16.79032258064518"/>
    <s v="successful"/>
    <n v="480"/>
    <n v="28.002083333333335"/>
    <s v="US"/>
    <s v="USD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s v="failed"/>
    <n v="64"/>
    <n v="76.546875"/>
    <s v="US"/>
    <s v="USD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s v="successful"/>
    <n v="226"/>
    <n v="53.053097345132741"/>
    <s v="US"/>
    <s v="USD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s v="failed"/>
    <n v="64"/>
    <n v="106.859375"/>
    <s v="US"/>
    <s v="USD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13.17346938775511"/>
    <s v="successful"/>
    <n v="241"/>
    <n v="46.020746887966808"/>
    <s v="US"/>
    <s v="USD"/>
    <n v="1411621200"/>
    <n v="1411966800"/>
    <b v="0"/>
    <b v="1"/>
    <x v="1"/>
    <x v="1"/>
    <s v="music/rock"/>
  </r>
  <r>
    <n v="992"/>
    <s v="Morrow Inc"/>
    <s v="Networked global migration"/>
    <n v="3100"/>
    <n v="13223"/>
    <n v="426.54838709677421"/>
    <s v="successful"/>
    <n v="132"/>
    <n v="100.17424242424242"/>
    <s v="US"/>
    <s v="USD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s v="canceled"/>
    <n v="75"/>
    <n v="101.44"/>
    <s v="IT"/>
    <s v="EUR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s v="failed"/>
    <n v="842"/>
    <n v="87.972684085510693"/>
    <s v="US"/>
    <s v="USD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s v="successful"/>
    <n v="2043"/>
    <n v="74.995594713656388"/>
    <s v="US"/>
    <s v="USD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72.939393939393938"/>
    <s v="failed"/>
    <n v="112"/>
    <n v="42.982142857142854"/>
    <s v="US"/>
    <s v="USD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60.565789473684205"/>
    <s v="canceled"/>
    <n v="139"/>
    <n v="33.115107913669064"/>
    <s v="IT"/>
    <s v="EUR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s v="failed"/>
    <n v="374"/>
    <n v="101.13101604278074"/>
    <s v="US"/>
    <s v="USD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s v="canceled"/>
    <n v="1122"/>
    <n v="55.98841354723708"/>
    <s v="US"/>
    <s v="USD"/>
    <n v="1467176400"/>
    <n v="14677812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1E742-0E04-46F1-A1A7-AF5B01CA1A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18"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56509-BFFD-4795-88AC-D794B612BC5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" firstHeaderRow="1" firstDataRow="1" firstDataCol="1"/>
  <pivotFields count="18"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1BFA-AF15-4144-AE8B-D8EF45D1A301}">
  <dimension ref="A3:F28"/>
  <sheetViews>
    <sheetView topLeftCell="A11" workbookViewId="0">
      <selection activeCell="P15" sqref="P15"/>
    </sheetView>
  </sheetViews>
  <sheetFormatPr defaultRowHeight="15.75" x14ac:dyDescent="0.25"/>
  <cols>
    <col min="1" max="1" width="16.375" bestFit="1" customWidth="1"/>
  </cols>
  <sheetData>
    <row r="3" spans="1:6" x14ac:dyDescent="0.25">
      <c r="A3" s="7" t="s">
        <v>2033</v>
      </c>
      <c r="B3" t="s">
        <v>20</v>
      </c>
      <c r="C3" t="s">
        <v>14</v>
      </c>
      <c r="D3" t="s">
        <v>74</v>
      </c>
      <c r="E3" t="s">
        <v>47</v>
      </c>
      <c r="F3" t="s">
        <v>2044</v>
      </c>
    </row>
    <row r="4" spans="1:6" x14ac:dyDescent="0.25">
      <c r="A4" s="8" t="s">
        <v>2045</v>
      </c>
      <c r="B4">
        <f>COUNTIFS(Crowdfunding!Q2:Q1001,"animation",Crowdfunding!G2:G1001,"successful")</f>
        <v>21</v>
      </c>
      <c r="C4">
        <f>COUNTIFS(Crowdfunding!Q2:Q1001,"animation",Crowdfunding!G2:G1001,"failed")</f>
        <v>10</v>
      </c>
      <c r="D4">
        <f>COUNTIFS(Crowdfunding!Q2:Q1001,"animation",Crowdfunding!G2:G1001,"canceled")</f>
        <v>1</v>
      </c>
      <c r="E4">
        <f>COUNTIFS(Crowdfunding!Q2:Q1001,"animation",Crowdfunding!G2:G1001,"live")</f>
        <v>2</v>
      </c>
      <c r="F4">
        <f>SUM(B4:E4)</f>
        <v>34</v>
      </c>
    </row>
    <row r="5" spans="1:6" x14ac:dyDescent="0.25">
      <c r="A5" s="8" t="s">
        <v>2046</v>
      </c>
      <c r="B5">
        <f>COUNTIFS(Crowdfunding!Q3:Q1002,"audio",Crowdfunding!G3:G1002,"successful")</f>
        <v>4</v>
      </c>
      <c r="C5">
        <f>COUNTIFS(Crowdfunding!Q3:Q1002,"audio",Crowdfunding!G3:G1002,"failed")</f>
        <v>0</v>
      </c>
      <c r="D5">
        <f>COUNTIFS(Crowdfunding!Q3:Q1002,"audio",Crowdfunding!G3:G1002,"canceled")</f>
        <v>0</v>
      </c>
      <c r="E5">
        <f>COUNTIFS(Crowdfunding!Q3:Q1002,"audio",Crowdfunding!G3:G1002,"live")</f>
        <v>0</v>
      </c>
      <c r="F5">
        <f t="shared" ref="F5:F27" si="0">SUM(B5:E5)</f>
        <v>4</v>
      </c>
    </row>
    <row r="6" spans="1:6" x14ac:dyDescent="0.25">
      <c r="A6" s="8" t="s">
        <v>2047</v>
      </c>
      <c r="B6">
        <f>COUNTIFS(Crowdfunding!Q4:Q1003,"documentary",Crowdfunding!G4:G1003,"successful")</f>
        <v>34</v>
      </c>
      <c r="C6">
        <f>COUNTIFS(Crowdfunding!Q4:Q1003,"documentary",Crowdfunding!G4:G1003,"failed")</f>
        <v>21</v>
      </c>
      <c r="D6">
        <f>COUNTIFS(Crowdfunding!Q4:Q1003,"documentary",Crowdfunding!G4:G1003,"canceled")</f>
        <v>4</v>
      </c>
      <c r="E6">
        <f>COUNTIFS(Crowdfunding!Q4:Q1003,"documentary",Crowdfunding!G4:G1003,"live")</f>
        <v>1</v>
      </c>
      <c r="F6">
        <f t="shared" si="0"/>
        <v>60</v>
      </c>
    </row>
    <row r="7" spans="1:6" x14ac:dyDescent="0.25">
      <c r="A7" s="8" t="s">
        <v>2048</v>
      </c>
      <c r="B7">
        <f>COUNTIFS(Crowdfunding!Q5:Q1004,"drama",Crowdfunding!G5:G1004,"successful")</f>
        <v>22</v>
      </c>
      <c r="C7">
        <f>COUNTIFS(Crowdfunding!Q5:Q1004,"drama",Crowdfunding!G5:G1004,"failed")</f>
        <v>12</v>
      </c>
      <c r="D7">
        <f>COUNTIFS(Crowdfunding!Q5:Q1004,"drama",Crowdfunding!G5:G1004,"canceled")</f>
        <v>2</v>
      </c>
      <c r="E7">
        <f>COUNTIFS(Crowdfunding!Q5:Q1004,"drama",Crowdfunding!G5:G1004,"live")</f>
        <v>1</v>
      </c>
      <c r="F7">
        <f t="shared" si="0"/>
        <v>37</v>
      </c>
    </row>
    <row r="8" spans="1:6" x14ac:dyDescent="0.25">
      <c r="A8" s="8" t="s">
        <v>2049</v>
      </c>
      <c r="B8">
        <f>COUNTIFS(Crowdfunding!Q6:Q1005,"electric music",Crowdfunding!G6:G1005,"successful")</f>
        <v>10</v>
      </c>
      <c r="C8">
        <f>COUNTIFS(Crowdfunding!Q6:Q1005,"electric music",Crowdfunding!G6:G1005,"failed")</f>
        <v>8</v>
      </c>
      <c r="D8">
        <f>COUNTIFS(Crowdfunding!Q6:Q1005,"electric music",Crowdfunding!G6:G1005,"canceled")</f>
        <v>0</v>
      </c>
      <c r="E8">
        <f>COUNTIFS(Crowdfunding!Q6:Q1005,"electric music",Crowdfunding!G6:G1005,"live")</f>
        <v>0</v>
      </c>
      <c r="F8">
        <f t="shared" si="0"/>
        <v>18</v>
      </c>
    </row>
    <row r="9" spans="1:6" x14ac:dyDescent="0.25">
      <c r="A9" s="8" t="s">
        <v>2050</v>
      </c>
      <c r="B9">
        <f>COUNTIFS(Crowdfunding!Q7:Q1006,"fiction",Crowdfunding!G7:G1006,"successful")</f>
        <v>9</v>
      </c>
      <c r="C9">
        <f>COUNTIFS(Crowdfunding!Q7:Q1006,"fiction",Crowdfunding!G7:G1006,"failed")</f>
        <v>7</v>
      </c>
      <c r="D9">
        <f>COUNTIFS(Crowdfunding!Q7:Q1006,"fiction",Crowdfunding!G7:G1006,"canceled")</f>
        <v>1</v>
      </c>
      <c r="E9">
        <f>COUNTIFS(Crowdfunding!Q7:Q1006,"fiction",Crowdfunding!G7:G1006,"live")</f>
        <v>0</v>
      </c>
      <c r="F9">
        <f t="shared" si="0"/>
        <v>17</v>
      </c>
    </row>
    <row r="10" spans="1:6" x14ac:dyDescent="0.25">
      <c r="A10" s="8" t="s">
        <v>2051</v>
      </c>
      <c r="B10">
        <f>COUNTIFS(Crowdfunding!Q8:Q1007,"food trucks",Crowdfunding!G8:G1007,"successful")</f>
        <v>22</v>
      </c>
      <c r="C10">
        <v>20</v>
      </c>
      <c r="D10">
        <f>COUNTIFS(Crowdfunding!Q8:Q1007,"food trucks",Crowdfunding!G8:G1007,"canceled")</f>
        <v>4</v>
      </c>
      <c r="E10">
        <f>COUNTIFS(Crowdfunding!Q8:Q1007,"food trucks",Crowdfunding!G8:G1007,"live")</f>
        <v>0</v>
      </c>
      <c r="F10">
        <f t="shared" si="0"/>
        <v>46</v>
      </c>
    </row>
    <row r="11" spans="1:6" x14ac:dyDescent="0.25">
      <c r="A11" s="8" t="s">
        <v>2052</v>
      </c>
      <c r="B11">
        <f>COUNTIFS(Crowdfunding!Q9:Q1008,"indie rock",Crowdfunding!G9:G1008,"successful")</f>
        <v>23</v>
      </c>
      <c r="C11">
        <f>COUNTIFS(Crowdfunding!Q9:Q1008,"indie rock",Crowdfunding!G9:G1008,"failed")</f>
        <v>19</v>
      </c>
      <c r="D11">
        <f>COUNTIFS(Crowdfunding!Q9:Q1008,"indie rock",Crowdfunding!G9:G1008,"canceled")</f>
        <v>3</v>
      </c>
      <c r="E11">
        <f>COUNTIFS(Crowdfunding!Q9:Q1008,"indie rock",Crowdfunding!G9:G1008,"live")</f>
        <v>0</v>
      </c>
      <c r="F11">
        <f t="shared" si="0"/>
        <v>45</v>
      </c>
    </row>
    <row r="12" spans="1:6" x14ac:dyDescent="0.25">
      <c r="A12" s="8" t="s">
        <v>2053</v>
      </c>
      <c r="B12">
        <f>COUNTIFS(Crowdfunding!Q10:Q1009,"jazz",Crowdfunding!G10:G1009,"successful")</f>
        <v>10</v>
      </c>
      <c r="C12">
        <f>COUNTIFS(Crowdfunding!Q10:Q1009,"jazz",Crowdfunding!G10:G1009,"failed")</f>
        <v>6</v>
      </c>
      <c r="D12">
        <f>COUNTIFS(Crowdfunding!Q10:Q1009,"jazz",Crowdfunding!G10:G1009,"canceled")</f>
        <v>1</v>
      </c>
      <c r="E12">
        <f>COUNTIFS(Crowdfunding!Q10:Q1009,"jazz",Crowdfunding!G10:G1009,"live")</f>
        <v>0</v>
      </c>
      <c r="F12">
        <f t="shared" si="0"/>
        <v>17</v>
      </c>
    </row>
    <row r="13" spans="1:6" x14ac:dyDescent="0.25">
      <c r="A13" s="8" t="s">
        <v>2054</v>
      </c>
      <c r="B13">
        <f>COUNTIFS(Crowdfunding!Q11:Q1010,"metal",Crowdfunding!G11:G1010,"successful")</f>
        <v>4</v>
      </c>
      <c r="C13">
        <f>COUNTIFS(Crowdfunding!Q11:Q1010,"metal",Crowdfunding!G11:G1010,"failed")</f>
        <v>3</v>
      </c>
      <c r="D13">
        <f>COUNTIFS(Crowdfunding!Q11:Q1010,"metal",Crowdfunding!G11:G1010,"canceled")</f>
        <v>0</v>
      </c>
      <c r="E13">
        <f>COUNTIFS(Crowdfunding!Q11:Q1010,"metal",Crowdfunding!G11:G1010,"live")</f>
        <v>0</v>
      </c>
      <c r="F13">
        <f t="shared" si="0"/>
        <v>7</v>
      </c>
    </row>
    <row r="14" spans="1:6" x14ac:dyDescent="0.25">
      <c r="A14" s="8" t="s">
        <v>2055</v>
      </c>
      <c r="B14">
        <f>COUNTIFS(Crowdfunding!Q12:Q1011,"mobile games",Crowdfunding!G12:G1011,"successful")</f>
        <v>4</v>
      </c>
      <c r="C14">
        <f>COUNTIFS(Crowdfunding!Q12:Q1011,"mobile games",Crowdfunding!G12:G1011,"failed")</f>
        <v>8</v>
      </c>
      <c r="D14">
        <f>COUNTIFS(Crowdfunding!Q12:Q1011,"mobile games",Crowdfunding!G12:G1011,"canceled")</f>
        <v>0</v>
      </c>
      <c r="E14">
        <f>COUNTIFS(Crowdfunding!Q12:Q1011,"mobile games",Crowdfunding!G12:G1011,"live")</f>
        <v>1</v>
      </c>
      <c r="F14">
        <f t="shared" si="0"/>
        <v>13</v>
      </c>
    </row>
    <row r="15" spans="1:6" x14ac:dyDescent="0.25">
      <c r="A15" s="8" t="s">
        <v>2056</v>
      </c>
      <c r="B15">
        <f>COUNTIFS(Crowdfunding!Q13:Q1012,"nonfiction",Crowdfunding!G13:G1012,"successful")</f>
        <v>13</v>
      </c>
      <c r="C15">
        <f>COUNTIFS(Crowdfunding!Q13:Q1012,"nonfiction",Crowdfunding!G13:G1012,"failed")</f>
        <v>6</v>
      </c>
      <c r="D15">
        <f>COUNTIFS(Crowdfunding!Q13:Q1012,"nonfiction",Crowdfunding!G13:G1012,"canceled")</f>
        <v>1</v>
      </c>
      <c r="E15">
        <f>COUNTIFS(Crowdfunding!Q13:Q1012,"nonfiction",Crowdfunding!G13:G1012,"live")</f>
        <v>1</v>
      </c>
      <c r="F15">
        <f t="shared" si="0"/>
        <v>21</v>
      </c>
    </row>
    <row r="16" spans="1:6" x14ac:dyDescent="0.25">
      <c r="A16" s="8" t="s">
        <v>2057</v>
      </c>
      <c r="B16">
        <f>COUNTIFS(Crowdfunding!Q14:Q1013,"photography books",Crowdfunding!G14:G1013,"successful")</f>
        <v>26</v>
      </c>
      <c r="C16">
        <f>COUNTIFS(Crowdfunding!Q14:Q1013,"photography books",Crowdfunding!G14:G1013,"failed")</f>
        <v>11</v>
      </c>
      <c r="D16">
        <f>COUNTIFS(Crowdfunding!Q14:Q1013,"photography books",Crowdfunding!G14:G1013,"canceled")</f>
        <v>4</v>
      </c>
      <c r="E16">
        <f>COUNTIFS(Crowdfunding!Q14:Q1013,"photography books",Crowdfunding!G14:G1013,"live")</f>
        <v>1</v>
      </c>
      <c r="F16">
        <f t="shared" si="0"/>
        <v>42</v>
      </c>
    </row>
    <row r="17" spans="1:6" x14ac:dyDescent="0.25">
      <c r="A17" s="8" t="s">
        <v>2058</v>
      </c>
      <c r="B17">
        <v>187</v>
      </c>
      <c r="C17">
        <v>132</v>
      </c>
      <c r="D17">
        <f>COUNTIFS(Crowdfunding!Q15:Q1014,"plays",Crowdfunding!G15:G1014,"canceled")</f>
        <v>23</v>
      </c>
      <c r="E17">
        <v>2</v>
      </c>
      <c r="F17">
        <f t="shared" si="0"/>
        <v>344</v>
      </c>
    </row>
    <row r="18" spans="1:6" x14ac:dyDescent="0.25">
      <c r="A18" s="8" t="s">
        <v>2059</v>
      </c>
      <c r="B18">
        <v>4</v>
      </c>
      <c r="C18">
        <v>4</v>
      </c>
      <c r="D18">
        <f>COUNTIFS(Crowdfunding!Q16:Q1015,"radio and podcasts",Crowdfunding!G16:G1015,"canceled")</f>
        <v>0</v>
      </c>
      <c r="E18">
        <f>COUNTIFS(Crowdfunding!Q16:Q1015,"radio and podcasts",Crowdfunding!G16:G1015,"live")</f>
        <v>0</v>
      </c>
      <c r="F18">
        <f t="shared" si="0"/>
        <v>8</v>
      </c>
    </row>
    <row r="19" spans="1:6" x14ac:dyDescent="0.25">
      <c r="A19" s="8" t="s">
        <v>2060</v>
      </c>
      <c r="B19">
        <v>49</v>
      </c>
      <c r="C19">
        <v>30</v>
      </c>
      <c r="D19">
        <f>COUNTIFS(Crowdfunding!Q17:Q1016,"rock",Crowdfunding!G17:G1016,"canceled")</f>
        <v>6</v>
      </c>
      <c r="E19">
        <f>COUNTIFS(Crowdfunding!Q17:Q1016,"rock",Crowdfunding!G17:G1016,"live")</f>
        <v>0</v>
      </c>
      <c r="F19">
        <f t="shared" si="0"/>
        <v>85</v>
      </c>
    </row>
    <row r="20" spans="1:6" x14ac:dyDescent="0.25">
      <c r="A20" s="8" t="s">
        <v>2061</v>
      </c>
      <c r="B20">
        <f>COUNTIFS(Crowdfunding!Q18:Q1017,"science fiction",Crowdfunding!G18:G1017,"successful")</f>
        <v>5</v>
      </c>
      <c r="C20">
        <f>COUNTIFS(Crowdfunding!Q18:Q1017,"science fiction",Crowdfunding!G18:G1017,"failed")</f>
        <v>9</v>
      </c>
      <c r="D20">
        <f>COUNTIFS(Crowdfunding!Q18:Q1017,"science fiction",Crowdfunding!G18:G1017,"canceled")</f>
        <v>0</v>
      </c>
      <c r="E20">
        <f>COUNTIFS(Crowdfunding!Q18:Q1017,"science fiction",Crowdfunding!G18:G1017,"live")</f>
        <v>0</v>
      </c>
      <c r="F20">
        <f t="shared" si="0"/>
        <v>14</v>
      </c>
    </row>
    <row r="21" spans="1:6" x14ac:dyDescent="0.25">
      <c r="A21" s="8" t="s">
        <v>2062</v>
      </c>
      <c r="B21">
        <f>COUNTIFS(Crowdfunding!Q19:Q1018,"shorts",Crowdfunding!G19:G1018,"successful")</f>
        <v>9</v>
      </c>
      <c r="C21">
        <f>COUNTIFS(Crowdfunding!Q19:Q1018,"shorts",Crowdfunding!G19:G1018,"failed")</f>
        <v>5</v>
      </c>
      <c r="D21">
        <f>COUNTIFS(Crowdfunding!Q19:Q1018,"shorts",Crowdfunding!G19:G1018,"canceled")</f>
        <v>1</v>
      </c>
      <c r="E21">
        <f>COUNTIFS(Crowdfunding!Q19:Q1018,"shorts",Crowdfunding!G19:G1018,"live")</f>
        <v>1</v>
      </c>
      <c r="F21">
        <f t="shared" si="0"/>
        <v>16</v>
      </c>
    </row>
    <row r="22" spans="1:6" x14ac:dyDescent="0.25">
      <c r="A22" s="8" t="s">
        <v>2063</v>
      </c>
      <c r="B22">
        <f>COUNTIFS(Crowdfunding!Q20:Q1019,"television",Crowdfunding!G20:G1019,"successful")</f>
        <v>11</v>
      </c>
      <c r="C22">
        <f>COUNTIFS(Crowdfunding!Q20:Q1019,"television",Crowdfunding!G20:G1019,"failed")</f>
        <v>3</v>
      </c>
      <c r="D22">
        <f>COUNTIFS(Crowdfunding!Q20:Q1019,"television",Crowdfunding!G20:G1019,"canceled")</f>
        <v>3</v>
      </c>
      <c r="E22">
        <f>COUNTIFS(Crowdfunding!Q20:Q1019,"television",Crowdfunding!G20:G1019,"live")</f>
        <v>0</v>
      </c>
      <c r="F22">
        <f t="shared" si="0"/>
        <v>17</v>
      </c>
    </row>
    <row r="23" spans="1:6" x14ac:dyDescent="0.25">
      <c r="A23" s="8" t="s">
        <v>2064</v>
      </c>
      <c r="B23">
        <v>14</v>
      </c>
      <c r="C23">
        <f>COUNTIFS(Crowdfunding!Q21:Q1020,"translations",Crowdfunding!G21:G1020,"failed")</f>
        <v>7</v>
      </c>
      <c r="D23">
        <f>COUNTIFS(Crowdfunding!Q21:Q1020,"translations",Crowdfunding!G21:G1020,"canceled")</f>
        <v>0</v>
      </c>
      <c r="E23">
        <f>COUNTIFS(Crowdfunding!Q21:Q1020,"translations",Crowdfunding!G21:G1020,"live")</f>
        <v>0</v>
      </c>
      <c r="F23">
        <f t="shared" si="0"/>
        <v>21</v>
      </c>
    </row>
    <row r="24" spans="1:6" x14ac:dyDescent="0.25">
      <c r="A24" s="8" t="s">
        <v>2065</v>
      </c>
      <c r="B24">
        <f>COUNTIFS(Crowdfunding!Q22:Q1021,"video games",Crowdfunding!G22:G1021,"successful")</f>
        <v>17</v>
      </c>
      <c r="C24">
        <f>COUNTIFS(Crowdfunding!Q22:Q1021,"video games",Crowdfunding!G22:G1021,"failed")</f>
        <v>15</v>
      </c>
      <c r="D24">
        <f>COUNTIFS(Crowdfunding!Q22:Q1021,"video games",Crowdfunding!G22:G1021,"canceled")</f>
        <v>1</v>
      </c>
      <c r="E24">
        <f>COUNTIFS(Crowdfunding!Q22:Q1021,"video games",Crowdfunding!G22:G1021,"live")</f>
        <v>2</v>
      </c>
      <c r="F24">
        <f t="shared" si="0"/>
        <v>35</v>
      </c>
    </row>
    <row r="25" spans="1:6" x14ac:dyDescent="0.25">
      <c r="A25" s="8" t="s">
        <v>2066</v>
      </c>
      <c r="B25">
        <f>COUNTIFS(Crowdfunding!Q23:Q1022,"wearables",Crowdfunding!G23:G1022,"successful")</f>
        <v>28</v>
      </c>
      <c r="C25">
        <v>16</v>
      </c>
      <c r="D25">
        <f>COUNTIFS(Crowdfunding!Q23:Q1022,"wearables",Crowdfunding!G23:G1022,"canceled")</f>
        <v>0</v>
      </c>
      <c r="E25">
        <f>COUNTIFS(Crowdfunding!Q23:Q1022,"wearables",Crowdfunding!G23:G1022,"live")</f>
        <v>1</v>
      </c>
      <c r="F25">
        <f t="shared" si="0"/>
        <v>45</v>
      </c>
    </row>
    <row r="26" spans="1:6" x14ac:dyDescent="0.25">
      <c r="A26" s="8" t="s">
        <v>2067</v>
      </c>
      <c r="B26">
        <v>36</v>
      </c>
      <c r="C26">
        <f>COUNTIFS(Crowdfunding!Q24:Q1023,"web",Crowdfunding!G24:G1023,"failed")</f>
        <v>12</v>
      </c>
      <c r="D26">
        <f>COUNTIFS(Crowdfunding!Q24:Q1023,"web",Crowdfunding!G24:G1023,"canceled")</f>
        <v>2</v>
      </c>
      <c r="E26">
        <f>COUNTIFS(Crowdfunding!Q24:Q1023,"web",Crowdfunding!G24:G1023,"live")</f>
        <v>1</v>
      </c>
      <c r="F26">
        <f t="shared" si="0"/>
        <v>51</v>
      </c>
    </row>
    <row r="27" spans="1:6" x14ac:dyDescent="0.25">
      <c r="A27" s="8" t="s">
        <v>2068</v>
      </c>
      <c r="B27">
        <f>COUNTIFS(Crowdfunding!Q25:Q1024,"world music",Crowdfunding!G25:G1024,"successful")</f>
        <v>3</v>
      </c>
      <c r="C27">
        <f>COUNTIFS(Crowdfunding!Q25:Q1024,"world music",Crowdfunding!G25:G1024,"failed")</f>
        <v>0</v>
      </c>
      <c r="D27">
        <f>COUNTIFS(Crowdfunding!Q25:Q1024,"world music",Crowdfunding!G25:G1024,"canceled")</f>
        <v>0</v>
      </c>
      <c r="E27">
        <f>COUNTIFS(Crowdfunding!Q25:Q1024,"world music",Crowdfunding!G25:G1024,"live")</f>
        <v>0</v>
      </c>
      <c r="F27">
        <f t="shared" si="0"/>
        <v>3</v>
      </c>
    </row>
    <row r="28" spans="1:6" x14ac:dyDescent="0.25">
      <c r="A28" s="8" t="s">
        <v>2043</v>
      </c>
      <c r="B28">
        <f>SUM(B4:B27)</f>
        <v>565</v>
      </c>
      <c r="C28">
        <f>SUM(C4:C27)</f>
        <v>364</v>
      </c>
      <c r="D28">
        <f>SUM(D4:D27)</f>
        <v>57</v>
      </c>
      <c r="E28">
        <f>SUM(E4:E27)</f>
        <v>14</v>
      </c>
      <c r="F28">
        <f>SUM(B28:E28)</f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39C8-935F-46F1-8A40-2A5A6EAFD264}">
  <dimension ref="A1:H13"/>
  <sheetViews>
    <sheetView topLeftCell="A7" workbookViewId="0">
      <selection activeCell="H23" sqref="H23"/>
    </sheetView>
  </sheetViews>
  <sheetFormatPr defaultRowHeight="15.75" x14ac:dyDescent="0.25"/>
  <cols>
    <col min="1" max="1" width="11.625" customWidth="1"/>
    <col min="2" max="2" width="16" customWidth="1"/>
    <col min="3" max="3" width="12.75" customWidth="1"/>
    <col min="4" max="4" width="15.25" customWidth="1"/>
    <col min="5" max="5" width="12.375" customWidth="1"/>
    <col min="6" max="6" width="18.375" customWidth="1"/>
    <col min="7" max="7" width="15.625" customWidth="1"/>
    <col min="8" max="8" width="19.375" customWidth="1"/>
    <col min="9" max="9" width="18" customWidth="1"/>
  </cols>
  <sheetData>
    <row r="1" spans="1:8" x14ac:dyDescent="0.25">
      <c r="A1" t="s">
        <v>2069</v>
      </c>
      <c r="B1" t="s">
        <v>2070</v>
      </c>
      <c r="C1" t="s">
        <v>2071</v>
      </c>
      <c r="D1" t="s">
        <v>2072</v>
      </c>
      <c r="E1" t="s">
        <v>2073</v>
      </c>
      <c r="F1" t="s">
        <v>2074</v>
      </c>
      <c r="G1" t="s">
        <v>2075</v>
      </c>
      <c r="H1" t="s">
        <v>2076</v>
      </c>
    </row>
    <row r="2" spans="1:8" x14ac:dyDescent="0.25">
      <c r="A2" t="s">
        <v>2077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>
        <f>B2/E2*100</f>
        <v>58.82352941176471</v>
      </c>
      <c r="G2">
        <f>C2/E2*100</f>
        <v>39.215686274509807</v>
      </c>
      <c r="H2">
        <f>D2/E2*100</f>
        <v>1.9607843137254901</v>
      </c>
    </row>
    <row r="3" spans="1:8" x14ac:dyDescent="0.25">
      <c r="A3" t="s">
        <v>2078</v>
      </c>
      <c r="B3">
        <f>COUNTIFS(Crowdfunding!G2:G1001,"successful",Crowdfunding!D2:D1001,"&gt;=1000", Crowdfunding!D2:D1001,"&lt;5000")</f>
        <v>191</v>
      </c>
      <c r="C3">
        <f>COUNTIFS(Crowdfunding!G2:G1001,"failed",Crowdfunding!D2:D1001,"&gt;=1000",Crowdfunding!D2:D1001,"&lt;5000")</f>
        <v>38</v>
      </c>
      <c r="D3">
        <f>COUNTIFS(Crowdfunding!G2:G1001,"canceled",Crowdfunding!D3:D1002,"&gt;=1000",Crowdfunding!D2:D1001,"&lt;5000")</f>
        <v>3</v>
      </c>
      <c r="E3">
        <f t="shared" ref="E3:E13" si="0">SUM(B3:D3)</f>
        <v>232</v>
      </c>
      <c r="F3">
        <f t="shared" ref="F3:F13" si="1">B3/E3*100</f>
        <v>82.327586206896555</v>
      </c>
      <c r="G3">
        <f t="shared" ref="G3:G13" si="2">C3/E3*100</f>
        <v>16.379310344827587</v>
      </c>
      <c r="H3">
        <f t="shared" ref="H3:H13" si="3">D3/E3*100</f>
        <v>1.2931034482758621</v>
      </c>
    </row>
    <row r="4" spans="1:8" x14ac:dyDescent="0.25">
      <c r="A4" t="s">
        <v>2079</v>
      </c>
      <c r="B4">
        <f>COUNTIFS(Crowdfunding!G2:G1001,"successful",Crowdfunding!D2:D1001,"&gt;=5000",Crowdfunding!D2:D1001,"&lt;10000")</f>
        <v>164</v>
      </c>
      <c r="C4">
        <f>COUNTIFS(Crowdfunding!G2:G1001,"failed",Crowdfunding!D2:D1001,"&gt;=5000",Crowdfunding!D2:D1001,"&lt;10000")</f>
        <v>126</v>
      </c>
      <c r="D4">
        <f>COUNTIFS(Crowdfunding!G2:G1001,"canceled",Crowdfunding!D2:D1001,"&gt;=5000",Crowdfunding!D2:D1001,"&lt;10000")</f>
        <v>25</v>
      </c>
      <c r="E4">
        <f t="shared" si="0"/>
        <v>315</v>
      </c>
      <c r="F4">
        <f t="shared" si="1"/>
        <v>52.06349206349207</v>
      </c>
      <c r="G4">
        <f t="shared" si="2"/>
        <v>40</v>
      </c>
      <c r="H4">
        <f t="shared" si="3"/>
        <v>7.9365079365079358</v>
      </c>
    </row>
    <row r="5" spans="1:8" x14ac:dyDescent="0.25">
      <c r="A5" t="s">
        <v>2080</v>
      </c>
      <c r="B5">
        <f>COUNTIFS(Crowdfunding!G2:G1001,"successful",Crowdfunding!D2:D1001,"&gt;=10000",Crowdfunding!D2:D1001,"&lt;15000")</f>
        <v>4</v>
      </c>
      <c r="C5">
        <f>COUNTIFS(Crowdfunding!G2:G1001,"failed",Crowdfunding!D2:D1001,"&gt;=10000",Crowdfunding!D2:D1001,"&lt;15000")</f>
        <v>5</v>
      </c>
      <c r="D5">
        <f>COUNTIFS(Crowdfunding!G2:G1001,"canceled",Crowdfunding!D2:D1001,"&gt;=10000",Crowdfunding!D2:D1001,"&lt;15000")</f>
        <v>0</v>
      </c>
      <c r="E5">
        <f t="shared" si="0"/>
        <v>9</v>
      </c>
      <c r="F5">
        <f t="shared" si="1"/>
        <v>44.444444444444443</v>
      </c>
      <c r="G5">
        <f t="shared" si="2"/>
        <v>55.555555555555557</v>
      </c>
      <c r="H5">
        <f t="shared" si="3"/>
        <v>0</v>
      </c>
    </row>
    <row r="6" spans="1:8" x14ac:dyDescent="0.25">
      <c r="A6" t="s">
        <v>2081</v>
      </c>
      <c r="B6">
        <f>COUNTIFS(Crowdfunding!G2:G1001,"successful",Crowdfunding!D2:D1001,"&gt;=15000",Crowdfunding!D2:D1001,"&lt;20000")</f>
        <v>10</v>
      </c>
      <c r="C6">
        <f>COUNTIFS(Crowdfunding!G2:G1001,"failed",Crowdfunding!D2:D1001,"&gt;=15000",Crowdfunding!D2:D1001,"&lt;20000")</f>
        <v>0</v>
      </c>
      <c r="D6">
        <f>COUNTIFS(Crowdfunding!G2:G1001,"canceled",Crowdfunding!D2:D1001,"&gt;=15000",Crowdfunding!D2:D1001,"&lt;20000")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5">
      <c r="A7" t="s">
        <v>2082</v>
      </c>
      <c r="B7">
        <f>COUNTIFS(Crowdfunding!G2:G1001,"successful",Crowdfunding!D2:D1001,"&gt;=20000",Crowdfunding!D2:D1001,"&lt;25000")</f>
        <v>7</v>
      </c>
      <c r="C7">
        <f>COUNTIFS(Crowdfunding!G2:G1001,"failed",Crowdfunding!D2:D1001,"&gt;=20000",Crowdfunding!D2:D1001,"&lt;25000")</f>
        <v>0</v>
      </c>
      <c r="D7">
        <f>COUNTIFS(Crowdfunding!G2:G1001,"canceled",Crowdfunding!D2:D1001,"&gt;=20000",Crowdfunding!D2:D1001,"&lt;25000")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5">
      <c r="A8" t="s">
        <v>2083</v>
      </c>
      <c r="B8">
        <f>COUNTIFS(Crowdfunding!G2:G1001,"successful",Crowdfunding!D2:D1001,"&gt;=25000",Crowdfunding!D2:D1001,"&lt;30000")</f>
        <v>11</v>
      </c>
      <c r="C8">
        <f>COUNTIFS(Crowdfunding!G2:G1001,"failed",Crowdfunding!D2:D1001,"&gt;=25000",Crowdfunding!D2:D1001,"&lt;30000")</f>
        <v>3</v>
      </c>
      <c r="D8">
        <f>COUNTIFS(Crowdfunding!G2:G1001,"canceled",Crowdfunding!D2:D1001,"&gt;=25000",Crowdfunding!D2:D1001,"&lt;30000")</f>
        <v>0</v>
      </c>
      <c r="E8">
        <f t="shared" si="0"/>
        <v>14</v>
      </c>
      <c r="F8">
        <f t="shared" si="1"/>
        <v>78.571428571428569</v>
      </c>
      <c r="G8">
        <f t="shared" si="2"/>
        <v>21.428571428571427</v>
      </c>
      <c r="H8">
        <f t="shared" si="3"/>
        <v>0</v>
      </c>
    </row>
    <row r="9" spans="1:8" x14ac:dyDescent="0.25">
      <c r="A9" t="s">
        <v>2084</v>
      </c>
      <c r="B9">
        <f>COUNTIFS(Crowdfunding!G2:G1001,"successful",Crowdfunding!D2:D1001,"&gt;=30000",Crowdfunding!D2:D1001,"&lt;35000")</f>
        <v>7</v>
      </c>
      <c r="C9">
        <f>COUNTIFS(Crowdfunding!G2:G1001,"failed",Crowdfunding!D2:D1001,"&gt;=30000",Crowdfunding!D2:D1001,"&lt;35000")</f>
        <v>0</v>
      </c>
      <c r="D9">
        <f>COUNTIFS(Crowdfunding!G2:G1001,"canceled",Crowdfunding!D2:D1001,"&gt;=30000",Crowdfunding!D2:D1001,"&lt;35000")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5">
      <c r="A10" t="s">
        <v>2085</v>
      </c>
      <c r="B10">
        <f>COUNTIFS(Crowdfunding!G2:G1001,"successful",Crowdfunding!D2:D1001,"&gt;=35000",Crowdfunding!D2:D1001,"&lt;40000")</f>
        <v>8</v>
      </c>
      <c r="C10">
        <f>COUNTIFS(Crowdfunding!G2:G1001,"failed",Crowdfunding!D2:D1001,"&gt;=35000",Crowdfunding!D2:D1001,"&lt;40000")</f>
        <v>3</v>
      </c>
      <c r="D10">
        <f>COUNTIFS(Crowdfunding!G2:G1001,"canceled",Crowdfunding!D2:D1001,"&gt;=35000",Crowdfunding!D2:D1001,"&lt;40000")</f>
        <v>1</v>
      </c>
      <c r="E10">
        <f t="shared" si="0"/>
        <v>12</v>
      </c>
      <c r="F10">
        <f t="shared" si="1"/>
        <v>66.666666666666657</v>
      </c>
      <c r="G10">
        <f t="shared" si="2"/>
        <v>25</v>
      </c>
      <c r="H10">
        <f t="shared" si="3"/>
        <v>8.3333333333333321</v>
      </c>
    </row>
    <row r="11" spans="1:8" x14ac:dyDescent="0.25">
      <c r="A11" t="s">
        <v>2086</v>
      </c>
      <c r="B11">
        <f>COUNTIFS(Crowdfunding!G2:G1001,"successful",Crowdfunding!D2:D1001,"&gt;=40000",Crowdfunding!D2:D1001,"&lt;45000")</f>
        <v>11</v>
      </c>
      <c r="C11">
        <f>COUNTIFS(Crowdfunding!G2:G1001,"failed",Crowdfunding!D2:D1001,"&gt;=40000",Crowdfunding!D2:D1001,"&lt;45000")</f>
        <v>3</v>
      </c>
      <c r="D11">
        <f>COUNTIFS(Crowdfunding!G2:G1001,"canceled",Crowdfunding!D2:D1001,"&gt;=40000",Crowdfunding!D2:D1001,"&lt;45000")</f>
        <v>0</v>
      </c>
      <c r="E11">
        <f t="shared" si="0"/>
        <v>14</v>
      </c>
      <c r="F11">
        <f t="shared" si="1"/>
        <v>78.571428571428569</v>
      </c>
      <c r="G11">
        <f t="shared" si="2"/>
        <v>21.428571428571427</v>
      </c>
      <c r="H11">
        <f t="shared" si="3"/>
        <v>0</v>
      </c>
    </row>
    <row r="12" spans="1:8" x14ac:dyDescent="0.25">
      <c r="A12" t="s">
        <v>2088</v>
      </c>
      <c r="B12">
        <f>COUNTIFS(Crowdfunding!G2:G1001,"successful",Crowdfunding!D2:D1001,"&gt;=45000",Crowdfunding!D2:D1001,"&lt;50000")</f>
        <v>8</v>
      </c>
      <c r="C12">
        <f>COUNTIFS(Crowdfunding!G2:G1001,"failed",Crowdfunding!D2:D1001,"&gt;=45000",Crowdfunding!D2:D1001,"&lt;50000")</f>
        <v>3</v>
      </c>
      <c r="D12">
        <f>COUNTIFS(Crowdfunding!G2:G1001,"canceled",Crowdfunding!D2:D1001,"&gt;=45000",Crowdfunding!D2:D1001,"&lt;50000")</f>
        <v>0</v>
      </c>
      <c r="E12">
        <f t="shared" si="0"/>
        <v>11</v>
      </c>
      <c r="F12">
        <f t="shared" si="1"/>
        <v>72.727272727272734</v>
      </c>
      <c r="G12">
        <f t="shared" si="2"/>
        <v>27.27272727272727</v>
      </c>
      <c r="H12">
        <f t="shared" si="3"/>
        <v>0</v>
      </c>
    </row>
    <row r="13" spans="1:8" x14ac:dyDescent="0.25">
      <c r="A13" t="s">
        <v>2087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>
        <f t="shared" si="1"/>
        <v>37.377049180327873</v>
      </c>
      <c r="G13">
        <f t="shared" si="2"/>
        <v>53.442622950819676</v>
      </c>
      <c r="H13">
        <f t="shared" si="3"/>
        <v>9.1803278688524586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C2C8-C7A1-42C7-A0E3-F17D724A8EB9}">
  <dimension ref="A1:H1009"/>
  <sheetViews>
    <sheetView tabSelected="1" workbookViewId="0">
      <selection activeCell="I4" sqref="I4"/>
    </sheetView>
  </sheetViews>
  <sheetFormatPr defaultRowHeight="15.75" x14ac:dyDescent="0.25"/>
  <cols>
    <col min="1" max="1" width="9.75" customWidth="1"/>
    <col min="2" max="2" width="12.25" customWidth="1"/>
    <col min="3" max="3" width="8.125" customWidth="1"/>
    <col min="4" max="4" width="12.625" bestFit="1" customWidth="1"/>
    <col min="8" max="8" width="7.75" customWidth="1"/>
  </cols>
  <sheetData>
    <row r="1" spans="1:8" x14ac:dyDescent="0.25">
      <c r="A1" t="s">
        <v>4</v>
      </c>
      <c r="B1" t="s">
        <v>5</v>
      </c>
      <c r="C1" t="s">
        <v>4</v>
      </c>
      <c r="D1" t="s">
        <v>5</v>
      </c>
      <c r="G1" t="s">
        <v>2089</v>
      </c>
      <c r="H1" t="s">
        <v>2090</v>
      </c>
    </row>
    <row r="2" spans="1:8" x14ac:dyDescent="0.25">
      <c r="B2">
        <v>0</v>
      </c>
      <c r="C2" t="s">
        <v>14</v>
      </c>
      <c r="D2">
        <v>0</v>
      </c>
      <c r="F2" t="s">
        <v>2091</v>
      </c>
      <c r="G2">
        <f>AVERAGE(B2:B1001)</f>
        <v>480.89800000000002</v>
      </c>
      <c r="H2">
        <f>AVERAGE(D2:D1001)</f>
        <v>213.16399999999999</v>
      </c>
    </row>
    <row r="3" spans="1:8" x14ac:dyDescent="0.25">
      <c r="A3" t="str">
        <f>IF(Crowdfunding!G3="successful","successful","")</f>
        <v>successful</v>
      </c>
      <c r="B3">
        <f>IF(Crowdfunding!G3="successful",Crowdfunding!H3,0)</f>
        <v>158</v>
      </c>
      <c r="C3" t="str">
        <f>IF(Crowdfunding!G3="failed","failed","")</f>
        <v/>
      </c>
      <c r="D3">
        <f>IF(Crowdfunding!G3="failed",Crowdfunding!H3,0)</f>
        <v>0</v>
      </c>
      <c r="F3" t="s">
        <v>2092</v>
      </c>
      <c r="G3">
        <f>MEDIAN(B2:B1001)</f>
        <v>87.5</v>
      </c>
      <c r="H3">
        <f>MEDIAN(D2:D1001)</f>
        <v>0</v>
      </c>
    </row>
    <row r="4" spans="1:8" x14ac:dyDescent="0.25">
      <c r="A4" t="str">
        <f>IF(Crowdfunding!G4="successful","successful","")</f>
        <v>successful</v>
      </c>
      <c r="B4">
        <f>IF(Crowdfunding!G4="successful",Crowdfunding!H4,0)</f>
        <v>1425</v>
      </c>
      <c r="C4" t="str">
        <f>IF(Crowdfunding!G4="failed","failed","")</f>
        <v/>
      </c>
      <c r="D4">
        <f>IF(Crowdfunding!G4="failed",Crowdfunding!H4,0)</f>
        <v>0</v>
      </c>
      <c r="F4" t="s">
        <v>2093</v>
      </c>
      <c r="G4">
        <f>MIN(B2:B1001)</f>
        <v>0</v>
      </c>
      <c r="H4">
        <f>MIN(D2:D1001)</f>
        <v>0</v>
      </c>
    </row>
    <row r="5" spans="1:8" x14ac:dyDescent="0.25">
      <c r="A5" t="str">
        <f>IF(Crowdfunding!G5="successful","successful","")</f>
        <v/>
      </c>
      <c r="B5">
        <f>IF(Crowdfunding!G5="successful",Crowdfunding!H5,0)</f>
        <v>0</v>
      </c>
      <c r="C5" t="str">
        <f>IF(Crowdfunding!G5="failed","failed","")</f>
        <v>failed</v>
      </c>
      <c r="D5">
        <f>IF(Crowdfunding!G5="failed",Crowdfunding!H5,0)</f>
        <v>24</v>
      </c>
      <c r="F5" t="s">
        <v>2094</v>
      </c>
      <c r="G5">
        <f>MAX(B2:B1001)</f>
        <v>7295</v>
      </c>
      <c r="H5">
        <f>MAX(D2:D1001)</f>
        <v>6080</v>
      </c>
    </row>
    <row r="6" spans="1:8" x14ac:dyDescent="0.25">
      <c r="A6" t="str">
        <f>IF(Crowdfunding!G6="successful","successful","")</f>
        <v/>
      </c>
      <c r="B6">
        <f>IF(Crowdfunding!G6="successful",Crowdfunding!H6,0)</f>
        <v>0</v>
      </c>
      <c r="C6" t="str">
        <f>IF(Crowdfunding!G6="failed","failed","")</f>
        <v>failed</v>
      </c>
      <c r="D6">
        <f>IF(Crowdfunding!G6="failed",Crowdfunding!H6,0)</f>
        <v>53</v>
      </c>
      <c r="F6" t="s">
        <v>2095</v>
      </c>
      <c r="G6">
        <f>VAR(B2:B1001)</f>
        <v>1085043.1587547548</v>
      </c>
      <c r="H6">
        <f>VAR(D2:D1001)</f>
        <v>415261.67277677677</v>
      </c>
    </row>
    <row r="7" spans="1:8" x14ac:dyDescent="0.25">
      <c r="A7" t="str">
        <f>IF(Crowdfunding!G7="successful","successful","")</f>
        <v>successful</v>
      </c>
      <c r="B7">
        <f>IF(Crowdfunding!G7="successful",Crowdfunding!H7,0)</f>
        <v>174</v>
      </c>
      <c r="C7" t="str">
        <f>IF(Crowdfunding!G7="failed","failed","")</f>
        <v/>
      </c>
      <c r="D7">
        <f>IF(Crowdfunding!G7="failed",Crowdfunding!H7,0)</f>
        <v>0</v>
      </c>
      <c r="F7" t="s">
        <v>2096</v>
      </c>
      <c r="G7">
        <f>STDEV(B2:B1001)</f>
        <v>1041.6540494592025</v>
      </c>
      <c r="H7">
        <f>STDEV(D2:D1001)</f>
        <v>644.4080017944973</v>
      </c>
    </row>
    <row r="8" spans="1:8" x14ac:dyDescent="0.25">
      <c r="A8" t="str">
        <f>IF(Crowdfunding!G8="successful","successful","")</f>
        <v/>
      </c>
      <c r="B8">
        <f>IF(Crowdfunding!G8="successful",Crowdfunding!H8,0)</f>
        <v>0</v>
      </c>
      <c r="C8" t="str">
        <f>IF(Crowdfunding!G8="failed","failed","")</f>
        <v>failed</v>
      </c>
      <c r="D8">
        <f>IF(Crowdfunding!G8="failed",Crowdfunding!H8,0)</f>
        <v>18</v>
      </c>
    </row>
    <row r="9" spans="1:8" x14ac:dyDescent="0.25">
      <c r="A9" t="str">
        <f>IF(Crowdfunding!G9="successful","successful","")</f>
        <v>successful</v>
      </c>
      <c r="B9">
        <f>IF(Crowdfunding!G9="successful",Crowdfunding!H9,0)</f>
        <v>227</v>
      </c>
      <c r="C9" t="str">
        <f>IF(Crowdfunding!G9="failed","failed","")</f>
        <v/>
      </c>
      <c r="D9">
        <f>IF(Crowdfunding!G9="failed",Crowdfunding!H9,0)</f>
        <v>0</v>
      </c>
    </row>
    <row r="10" spans="1:8" x14ac:dyDescent="0.25">
      <c r="A10" t="str">
        <f>IF(Crowdfunding!G10="successful","successful","")</f>
        <v/>
      </c>
      <c r="B10">
        <f>IF(Crowdfunding!G10="successful",Crowdfunding!H10,0)</f>
        <v>0</v>
      </c>
      <c r="C10" t="str">
        <f>IF(Crowdfunding!G10="failed","failed","")</f>
        <v/>
      </c>
      <c r="D10">
        <f>IF(Crowdfunding!G10="failed",Crowdfunding!H10,0)</f>
        <v>0</v>
      </c>
    </row>
    <row r="11" spans="1:8" x14ac:dyDescent="0.25">
      <c r="A11" t="str">
        <f>IF(Crowdfunding!G11="successful","successful","")</f>
        <v/>
      </c>
      <c r="B11">
        <f>IF(Crowdfunding!G11="successful",Crowdfunding!H11,0)</f>
        <v>0</v>
      </c>
      <c r="C11" t="str">
        <f>IF(Crowdfunding!G11="failed","failed","")</f>
        <v>failed</v>
      </c>
      <c r="D11">
        <f>IF(Crowdfunding!G11="failed",Crowdfunding!H11,0)</f>
        <v>44</v>
      </c>
    </row>
    <row r="12" spans="1:8" x14ac:dyDescent="0.25">
      <c r="A12" t="str">
        <f>IF(Crowdfunding!G12="successful","successful","")</f>
        <v>successful</v>
      </c>
      <c r="B12">
        <f>IF(Crowdfunding!G12="successful",Crowdfunding!H12,0)</f>
        <v>220</v>
      </c>
      <c r="C12" t="str">
        <f>IF(Crowdfunding!G12="failed","failed","")</f>
        <v/>
      </c>
      <c r="D12">
        <f>IF(Crowdfunding!G12="failed",Crowdfunding!H12,0)</f>
        <v>0</v>
      </c>
    </row>
    <row r="13" spans="1:8" x14ac:dyDescent="0.25">
      <c r="A13" t="str">
        <f>IF(Crowdfunding!G13="successful","successful","")</f>
        <v/>
      </c>
      <c r="B13">
        <f>IF(Crowdfunding!G13="successful",Crowdfunding!H13,0)</f>
        <v>0</v>
      </c>
      <c r="C13" t="str">
        <f>IF(Crowdfunding!G13="failed","failed","")</f>
        <v>failed</v>
      </c>
      <c r="D13">
        <f>IF(Crowdfunding!G13="failed",Crowdfunding!H13,0)</f>
        <v>27</v>
      </c>
    </row>
    <row r="14" spans="1:8" x14ac:dyDescent="0.25">
      <c r="A14" t="str">
        <f>IF(Crowdfunding!G14="successful","successful","")</f>
        <v/>
      </c>
      <c r="B14">
        <f>IF(Crowdfunding!G14="successful",Crowdfunding!H14,0)</f>
        <v>0</v>
      </c>
      <c r="C14" t="str">
        <f>IF(Crowdfunding!G14="failed","failed","")</f>
        <v>failed</v>
      </c>
      <c r="D14">
        <f>IF(Crowdfunding!G14="failed",Crowdfunding!H14,0)</f>
        <v>55</v>
      </c>
    </row>
    <row r="15" spans="1:8" x14ac:dyDescent="0.25">
      <c r="A15" t="str">
        <f>IF(Crowdfunding!G15="successful","successful","")</f>
        <v>successful</v>
      </c>
      <c r="B15">
        <f>IF(Crowdfunding!G15="successful",Crowdfunding!H15,0)</f>
        <v>98</v>
      </c>
      <c r="C15" t="str">
        <f>IF(Crowdfunding!G15="failed","failed","")</f>
        <v/>
      </c>
      <c r="D15">
        <f>IF(Crowdfunding!G15="failed",Crowdfunding!H15,0)</f>
        <v>0</v>
      </c>
    </row>
    <row r="16" spans="1:8" x14ac:dyDescent="0.25">
      <c r="A16" t="str">
        <f>IF(Crowdfunding!G16="successful","successful","")</f>
        <v/>
      </c>
      <c r="B16">
        <f>IF(Crowdfunding!G16="successful",Crowdfunding!H16,0)</f>
        <v>0</v>
      </c>
      <c r="C16" t="str">
        <f>IF(Crowdfunding!G16="failed","failed","")</f>
        <v>failed</v>
      </c>
      <c r="D16">
        <f>IF(Crowdfunding!G16="failed",Crowdfunding!H16,0)</f>
        <v>200</v>
      </c>
    </row>
    <row r="17" spans="1:4" x14ac:dyDescent="0.25">
      <c r="A17" t="str">
        <f>IF(Crowdfunding!G17="successful","successful","")</f>
        <v/>
      </c>
      <c r="B17">
        <f>IF(Crowdfunding!G17="successful",Crowdfunding!H17,0)</f>
        <v>0</v>
      </c>
      <c r="C17" t="str">
        <f>IF(Crowdfunding!G17="failed","failed","")</f>
        <v>failed</v>
      </c>
      <c r="D17">
        <f>IF(Crowdfunding!G17="failed",Crowdfunding!H17,0)</f>
        <v>452</v>
      </c>
    </row>
    <row r="18" spans="1:4" x14ac:dyDescent="0.25">
      <c r="A18" t="str">
        <f>IF(Crowdfunding!G18="successful","successful","")</f>
        <v>successful</v>
      </c>
      <c r="B18">
        <f>IF(Crowdfunding!G18="successful",Crowdfunding!H18,0)</f>
        <v>100</v>
      </c>
      <c r="C18" t="str">
        <f>IF(Crowdfunding!G18="failed","failed","")</f>
        <v/>
      </c>
      <c r="D18">
        <f>IF(Crowdfunding!G18="failed",Crowdfunding!H18,0)</f>
        <v>0</v>
      </c>
    </row>
    <row r="19" spans="1:4" x14ac:dyDescent="0.25">
      <c r="A19" t="str">
        <f>IF(Crowdfunding!G19="successful","successful","")</f>
        <v>successful</v>
      </c>
      <c r="B19">
        <f>IF(Crowdfunding!G19="successful",Crowdfunding!H19,0)</f>
        <v>1249</v>
      </c>
      <c r="C19" t="str">
        <f>IF(Crowdfunding!G19="failed","failed","")</f>
        <v/>
      </c>
      <c r="D19">
        <f>IF(Crowdfunding!G19="failed",Crowdfunding!H19,0)</f>
        <v>0</v>
      </c>
    </row>
    <row r="20" spans="1:4" x14ac:dyDescent="0.25">
      <c r="A20" t="str">
        <f>IF(Crowdfunding!G20="successful","successful","")</f>
        <v/>
      </c>
      <c r="B20">
        <f>IF(Crowdfunding!G20="successful",Crowdfunding!H20,0)</f>
        <v>0</v>
      </c>
      <c r="C20" t="str">
        <f>IF(Crowdfunding!G20="failed","failed","")</f>
        <v/>
      </c>
      <c r="D20">
        <f>IF(Crowdfunding!G20="failed",Crowdfunding!H20,0)</f>
        <v>0</v>
      </c>
    </row>
    <row r="21" spans="1:4" x14ac:dyDescent="0.25">
      <c r="A21" t="str">
        <f>IF(Crowdfunding!G21="successful","successful","")</f>
        <v/>
      </c>
      <c r="B21">
        <f>IF(Crowdfunding!G21="successful",Crowdfunding!H21,0)</f>
        <v>0</v>
      </c>
      <c r="C21" t="str">
        <f>IF(Crowdfunding!G21="failed","failed","")</f>
        <v>failed</v>
      </c>
      <c r="D21">
        <f>IF(Crowdfunding!G21="failed",Crowdfunding!H21,0)</f>
        <v>674</v>
      </c>
    </row>
    <row r="22" spans="1:4" x14ac:dyDescent="0.25">
      <c r="A22" t="str">
        <f>IF(Crowdfunding!G22="successful","successful","")</f>
        <v>successful</v>
      </c>
      <c r="B22">
        <f>IF(Crowdfunding!G22="successful",Crowdfunding!H22,0)</f>
        <v>1396</v>
      </c>
      <c r="C22" t="str">
        <f>IF(Crowdfunding!G22="failed","failed","")</f>
        <v/>
      </c>
      <c r="D22">
        <f>IF(Crowdfunding!G22="failed",Crowdfunding!H22,0)</f>
        <v>0</v>
      </c>
    </row>
    <row r="23" spans="1:4" x14ac:dyDescent="0.25">
      <c r="A23" t="str">
        <f>IF(Crowdfunding!G23="successful","successful","")</f>
        <v/>
      </c>
      <c r="B23">
        <f>IF(Crowdfunding!G23="successful",Crowdfunding!H23,0)</f>
        <v>0</v>
      </c>
      <c r="C23" t="str">
        <f>IF(Crowdfunding!G23="failed","failed","")</f>
        <v>failed</v>
      </c>
      <c r="D23">
        <f>IF(Crowdfunding!G23="failed",Crowdfunding!H23,0)</f>
        <v>558</v>
      </c>
    </row>
    <row r="24" spans="1:4" x14ac:dyDescent="0.25">
      <c r="A24" t="str">
        <f>IF(Crowdfunding!G24="successful","successful","")</f>
        <v>successful</v>
      </c>
      <c r="B24">
        <f>IF(Crowdfunding!G24="successful",Crowdfunding!H24,0)</f>
        <v>890</v>
      </c>
      <c r="C24" t="str">
        <f>IF(Crowdfunding!G24="failed","failed","")</f>
        <v/>
      </c>
      <c r="D24">
        <f>IF(Crowdfunding!G24="failed",Crowdfunding!H24,0)</f>
        <v>0</v>
      </c>
    </row>
    <row r="25" spans="1:4" x14ac:dyDescent="0.25">
      <c r="A25" t="str">
        <f>IF(Crowdfunding!G25="successful","successful","")</f>
        <v>successful</v>
      </c>
      <c r="B25">
        <f>IF(Crowdfunding!G25="successful",Crowdfunding!H25,0)</f>
        <v>142</v>
      </c>
      <c r="C25" t="str">
        <f>IF(Crowdfunding!G25="failed","failed","")</f>
        <v/>
      </c>
      <c r="D25">
        <f>IF(Crowdfunding!G25="failed",Crowdfunding!H25,0)</f>
        <v>0</v>
      </c>
    </row>
    <row r="26" spans="1:4" x14ac:dyDescent="0.25">
      <c r="A26" t="str">
        <f>IF(Crowdfunding!G26="successful","successful","")</f>
        <v>successful</v>
      </c>
      <c r="B26">
        <f>IF(Crowdfunding!G26="successful",Crowdfunding!H26,0)</f>
        <v>2673</v>
      </c>
      <c r="C26" t="str">
        <f>IF(Crowdfunding!G26="failed","failed","")</f>
        <v/>
      </c>
      <c r="D26">
        <f>IF(Crowdfunding!G26="failed",Crowdfunding!H26,0)</f>
        <v>0</v>
      </c>
    </row>
    <row r="27" spans="1:4" x14ac:dyDescent="0.25">
      <c r="A27" t="str">
        <f>IF(Crowdfunding!G27="successful","successful","")</f>
        <v>successful</v>
      </c>
      <c r="B27">
        <f>IF(Crowdfunding!G27="successful",Crowdfunding!H27,0)</f>
        <v>163</v>
      </c>
      <c r="C27" t="str">
        <f>IF(Crowdfunding!G27="failed","failed","")</f>
        <v/>
      </c>
      <c r="D27">
        <f>IF(Crowdfunding!G27="failed",Crowdfunding!H27,0)</f>
        <v>0</v>
      </c>
    </row>
    <row r="28" spans="1:4" x14ac:dyDescent="0.25">
      <c r="A28" t="str">
        <f>IF(Crowdfunding!G28="successful","successful","")</f>
        <v/>
      </c>
      <c r="B28">
        <f>IF(Crowdfunding!G28="successful",Crowdfunding!H28,0)</f>
        <v>0</v>
      </c>
      <c r="C28" t="str">
        <f>IF(Crowdfunding!G28="failed","failed","")</f>
        <v/>
      </c>
      <c r="D28">
        <f>IF(Crowdfunding!G28="failed",Crowdfunding!H28,0)</f>
        <v>0</v>
      </c>
    </row>
    <row r="29" spans="1:4" x14ac:dyDescent="0.25">
      <c r="A29" t="str">
        <f>IF(Crowdfunding!G29="successful","successful","")</f>
        <v/>
      </c>
      <c r="B29">
        <f>IF(Crowdfunding!G29="successful",Crowdfunding!H29,0)</f>
        <v>0</v>
      </c>
      <c r="C29" t="str">
        <f>IF(Crowdfunding!G29="failed","failed","")</f>
        <v>failed</v>
      </c>
      <c r="D29">
        <f>IF(Crowdfunding!G29="failed",Crowdfunding!H29,0)</f>
        <v>15</v>
      </c>
    </row>
    <row r="30" spans="1:4" x14ac:dyDescent="0.25">
      <c r="A30" t="str">
        <f>IF(Crowdfunding!G30="successful","successful","")</f>
        <v>successful</v>
      </c>
      <c r="B30">
        <f>IF(Crowdfunding!G30="successful",Crowdfunding!H30,0)</f>
        <v>2220</v>
      </c>
      <c r="C30" t="str">
        <f>IF(Crowdfunding!G30="failed","failed","")</f>
        <v/>
      </c>
      <c r="D30">
        <f>IF(Crowdfunding!G30="failed",Crowdfunding!H30,0)</f>
        <v>0</v>
      </c>
    </row>
    <row r="31" spans="1:4" x14ac:dyDescent="0.25">
      <c r="A31" t="str">
        <f>IF(Crowdfunding!G31="successful","successful","")</f>
        <v>successful</v>
      </c>
      <c r="B31">
        <f>IF(Crowdfunding!G31="successful",Crowdfunding!H31,0)</f>
        <v>1606</v>
      </c>
      <c r="C31" t="str">
        <f>IF(Crowdfunding!G31="failed","failed","")</f>
        <v/>
      </c>
      <c r="D31">
        <f>IF(Crowdfunding!G31="failed",Crowdfunding!H31,0)</f>
        <v>0</v>
      </c>
    </row>
    <row r="32" spans="1:4" x14ac:dyDescent="0.25">
      <c r="A32" t="str">
        <f>IF(Crowdfunding!G32="successful","successful","")</f>
        <v>successful</v>
      </c>
      <c r="B32">
        <f>IF(Crowdfunding!G32="successful",Crowdfunding!H32,0)</f>
        <v>129</v>
      </c>
      <c r="C32" t="str">
        <f>IF(Crowdfunding!G32="failed","failed","")</f>
        <v/>
      </c>
      <c r="D32">
        <f>IF(Crowdfunding!G32="failed",Crowdfunding!H32,0)</f>
        <v>0</v>
      </c>
    </row>
    <row r="33" spans="1:4" x14ac:dyDescent="0.25">
      <c r="A33" t="str">
        <f>IF(Crowdfunding!G33="successful","successful","")</f>
        <v>successful</v>
      </c>
      <c r="B33">
        <f>IF(Crowdfunding!G33="successful",Crowdfunding!H33,0)</f>
        <v>226</v>
      </c>
      <c r="C33" t="str">
        <f>IF(Crowdfunding!G33="failed","failed","")</f>
        <v/>
      </c>
      <c r="D33">
        <f>IF(Crowdfunding!G33="failed",Crowdfunding!H33,0)</f>
        <v>0</v>
      </c>
    </row>
    <row r="34" spans="1:4" x14ac:dyDescent="0.25">
      <c r="A34" t="str">
        <f>IF(Crowdfunding!G34="successful","successful","")</f>
        <v/>
      </c>
      <c r="B34">
        <f>IF(Crowdfunding!G34="successful",Crowdfunding!H34,0)</f>
        <v>0</v>
      </c>
      <c r="C34" t="str">
        <f>IF(Crowdfunding!G34="failed","failed","")</f>
        <v>failed</v>
      </c>
      <c r="D34">
        <f>IF(Crowdfunding!G34="failed",Crowdfunding!H34,0)</f>
        <v>2307</v>
      </c>
    </row>
    <row r="35" spans="1:4" x14ac:dyDescent="0.25">
      <c r="A35" t="str">
        <f>IF(Crowdfunding!G35="successful","successful","")</f>
        <v>successful</v>
      </c>
      <c r="B35">
        <f>IF(Crowdfunding!G35="successful",Crowdfunding!H35,0)</f>
        <v>5419</v>
      </c>
      <c r="C35" t="str">
        <f>IF(Crowdfunding!G35="failed","failed","")</f>
        <v/>
      </c>
      <c r="D35">
        <f>IF(Crowdfunding!G35="failed",Crowdfunding!H35,0)</f>
        <v>0</v>
      </c>
    </row>
    <row r="36" spans="1:4" x14ac:dyDescent="0.25">
      <c r="A36" t="str">
        <f>IF(Crowdfunding!G36="successful","successful","")</f>
        <v>successful</v>
      </c>
      <c r="B36">
        <f>IF(Crowdfunding!G36="successful",Crowdfunding!H36,0)</f>
        <v>165</v>
      </c>
      <c r="C36" t="str">
        <f>IF(Crowdfunding!G36="failed","failed","")</f>
        <v/>
      </c>
      <c r="D36">
        <f>IF(Crowdfunding!G36="failed",Crowdfunding!H36,0)</f>
        <v>0</v>
      </c>
    </row>
    <row r="37" spans="1:4" x14ac:dyDescent="0.25">
      <c r="A37" t="str">
        <f>IF(Crowdfunding!G37="successful","successful","")</f>
        <v>successful</v>
      </c>
      <c r="B37">
        <f>IF(Crowdfunding!G37="successful",Crowdfunding!H37,0)</f>
        <v>1965</v>
      </c>
      <c r="C37" t="str">
        <f>IF(Crowdfunding!G37="failed","failed","")</f>
        <v/>
      </c>
      <c r="D37">
        <f>IF(Crowdfunding!G37="failed",Crowdfunding!H37,0)</f>
        <v>0</v>
      </c>
    </row>
    <row r="38" spans="1:4" x14ac:dyDescent="0.25">
      <c r="A38" t="str">
        <f>IF(Crowdfunding!G38="successful","successful","")</f>
        <v>successful</v>
      </c>
      <c r="B38">
        <f>IF(Crowdfunding!G38="successful",Crowdfunding!H38,0)</f>
        <v>16</v>
      </c>
      <c r="C38" t="str">
        <f>IF(Crowdfunding!G38="failed","failed","")</f>
        <v/>
      </c>
      <c r="D38">
        <f>IF(Crowdfunding!G38="failed",Crowdfunding!H38,0)</f>
        <v>0</v>
      </c>
    </row>
    <row r="39" spans="1:4" x14ac:dyDescent="0.25">
      <c r="A39" t="str">
        <f>IF(Crowdfunding!G39="successful","successful","")</f>
        <v>successful</v>
      </c>
      <c r="B39">
        <f>IF(Crowdfunding!G39="successful",Crowdfunding!H39,0)</f>
        <v>107</v>
      </c>
      <c r="C39" t="str">
        <f>IF(Crowdfunding!G39="failed","failed","")</f>
        <v/>
      </c>
      <c r="D39">
        <f>IF(Crowdfunding!G39="failed",Crowdfunding!H39,0)</f>
        <v>0</v>
      </c>
    </row>
    <row r="40" spans="1:4" x14ac:dyDescent="0.25">
      <c r="A40" t="str">
        <f>IF(Crowdfunding!G40="successful","successful","")</f>
        <v>successful</v>
      </c>
      <c r="B40">
        <f>IF(Crowdfunding!G40="successful",Crowdfunding!H40,0)</f>
        <v>134</v>
      </c>
      <c r="C40" t="str">
        <f>IF(Crowdfunding!G40="failed","failed","")</f>
        <v/>
      </c>
      <c r="D40">
        <f>IF(Crowdfunding!G40="failed",Crowdfunding!H40,0)</f>
        <v>0</v>
      </c>
    </row>
    <row r="41" spans="1:4" x14ac:dyDescent="0.25">
      <c r="A41" t="str">
        <f>IF(Crowdfunding!G41="successful","successful","")</f>
        <v/>
      </c>
      <c r="B41">
        <f>IF(Crowdfunding!G41="successful",Crowdfunding!H41,0)</f>
        <v>0</v>
      </c>
      <c r="C41" t="str">
        <f>IF(Crowdfunding!G41="failed","failed","")</f>
        <v>failed</v>
      </c>
      <c r="D41">
        <f>IF(Crowdfunding!G41="failed",Crowdfunding!H41,0)</f>
        <v>88</v>
      </c>
    </row>
    <row r="42" spans="1:4" x14ac:dyDescent="0.25">
      <c r="A42" t="str">
        <f>IF(Crowdfunding!G42="successful","successful","")</f>
        <v>successful</v>
      </c>
      <c r="B42">
        <f>IF(Crowdfunding!G42="successful",Crowdfunding!H42,0)</f>
        <v>198</v>
      </c>
      <c r="C42" t="str">
        <f>IF(Crowdfunding!G42="failed","failed","")</f>
        <v/>
      </c>
      <c r="D42">
        <f>IF(Crowdfunding!G42="failed",Crowdfunding!H42,0)</f>
        <v>0</v>
      </c>
    </row>
    <row r="43" spans="1:4" x14ac:dyDescent="0.25">
      <c r="A43" t="str">
        <f>IF(Crowdfunding!G43="successful","successful","")</f>
        <v>successful</v>
      </c>
      <c r="B43">
        <f>IF(Crowdfunding!G43="successful",Crowdfunding!H43,0)</f>
        <v>111</v>
      </c>
      <c r="C43" t="str">
        <f>IF(Crowdfunding!G43="failed","failed","")</f>
        <v/>
      </c>
      <c r="D43">
        <f>IF(Crowdfunding!G43="failed",Crowdfunding!H43,0)</f>
        <v>0</v>
      </c>
    </row>
    <row r="44" spans="1:4" x14ac:dyDescent="0.25">
      <c r="A44" t="str">
        <f>IF(Crowdfunding!G44="successful","successful","")</f>
        <v>successful</v>
      </c>
      <c r="B44">
        <f>IF(Crowdfunding!G44="successful",Crowdfunding!H44,0)</f>
        <v>222</v>
      </c>
      <c r="C44" t="str">
        <f>IF(Crowdfunding!G44="failed","failed","")</f>
        <v/>
      </c>
      <c r="D44">
        <f>IF(Crowdfunding!G44="failed",Crowdfunding!H44,0)</f>
        <v>0</v>
      </c>
    </row>
    <row r="45" spans="1:4" x14ac:dyDescent="0.25">
      <c r="A45" t="str">
        <f>IF(Crowdfunding!G45="successful","successful","")</f>
        <v>successful</v>
      </c>
      <c r="B45">
        <f>IF(Crowdfunding!G45="successful",Crowdfunding!H45,0)</f>
        <v>6212</v>
      </c>
      <c r="C45" t="str">
        <f>IF(Crowdfunding!G45="failed","failed","")</f>
        <v/>
      </c>
      <c r="D45">
        <f>IF(Crowdfunding!G45="failed",Crowdfunding!H45,0)</f>
        <v>0</v>
      </c>
    </row>
    <row r="46" spans="1:4" x14ac:dyDescent="0.25">
      <c r="A46" t="str">
        <f>IF(Crowdfunding!G46="successful","successful","")</f>
        <v>successful</v>
      </c>
      <c r="B46">
        <f>IF(Crowdfunding!G46="successful",Crowdfunding!H46,0)</f>
        <v>98</v>
      </c>
      <c r="C46" t="str">
        <f>IF(Crowdfunding!G46="failed","failed","")</f>
        <v/>
      </c>
      <c r="D46">
        <f>IF(Crowdfunding!G46="failed",Crowdfunding!H46,0)</f>
        <v>0</v>
      </c>
    </row>
    <row r="47" spans="1:4" x14ac:dyDescent="0.25">
      <c r="A47" t="str">
        <f>IF(Crowdfunding!G47="successful","successful","")</f>
        <v/>
      </c>
      <c r="B47">
        <f>IF(Crowdfunding!G47="successful",Crowdfunding!H47,0)</f>
        <v>0</v>
      </c>
      <c r="C47" t="str">
        <f>IF(Crowdfunding!G47="failed","failed","")</f>
        <v>failed</v>
      </c>
      <c r="D47">
        <f>IF(Crowdfunding!G47="failed",Crowdfunding!H47,0)</f>
        <v>48</v>
      </c>
    </row>
    <row r="48" spans="1:4" x14ac:dyDescent="0.25">
      <c r="A48" t="str">
        <f>IF(Crowdfunding!G48="successful","successful","")</f>
        <v>successful</v>
      </c>
      <c r="B48">
        <f>IF(Crowdfunding!G48="successful",Crowdfunding!H48,0)</f>
        <v>92</v>
      </c>
      <c r="C48" t="str">
        <f>IF(Crowdfunding!G48="failed","failed","")</f>
        <v/>
      </c>
      <c r="D48">
        <f>IF(Crowdfunding!G48="failed",Crowdfunding!H48,0)</f>
        <v>0</v>
      </c>
    </row>
    <row r="49" spans="1:4" x14ac:dyDescent="0.25">
      <c r="A49" t="str">
        <f>IF(Crowdfunding!G49="successful","successful","")</f>
        <v>successful</v>
      </c>
      <c r="B49">
        <f>IF(Crowdfunding!G49="successful",Crowdfunding!H49,0)</f>
        <v>149</v>
      </c>
      <c r="C49" t="str">
        <f>IF(Crowdfunding!G49="failed","failed","")</f>
        <v/>
      </c>
      <c r="D49">
        <f>IF(Crowdfunding!G49="failed",Crowdfunding!H49,0)</f>
        <v>0</v>
      </c>
    </row>
    <row r="50" spans="1:4" x14ac:dyDescent="0.25">
      <c r="A50" t="str">
        <f>IF(Crowdfunding!G50="successful","successful","")</f>
        <v>successful</v>
      </c>
      <c r="B50">
        <f>IF(Crowdfunding!G50="successful",Crowdfunding!H50,0)</f>
        <v>2431</v>
      </c>
      <c r="C50" t="str">
        <f>IF(Crowdfunding!G50="failed","failed","")</f>
        <v/>
      </c>
      <c r="D50">
        <f>IF(Crowdfunding!G50="failed",Crowdfunding!H50,0)</f>
        <v>0</v>
      </c>
    </row>
    <row r="51" spans="1:4" x14ac:dyDescent="0.25">
      <c r="A51" t="str">
        <f>IF(Crowdfunding!G51="successful","successful","")</f>
        <v>successful</v>
      </c>
      <c r="B51">
        <f>IF(Crowdfunding!G51="successful",Crowdfunding!H51,0)</f>
        <v>303</v>
      </c>
      <c r="C51" t="str">
        <f>IF(Crowdfunding!G51="failed","failed","")</f>
        <v/>
      </c>
      <c r="D51">
        <f>IF(Crowdfunding!G51="failed",Crowdfunding!H51,0)</f>
        <v>0</v>
      </c>
    </row>
    <row r="52" spans="1:4" x14ac:dyDescent="0.25">
      <c r="A52" t="str">
        <f>IF(Crowdfunding!G52="successful","successful","")</f>
        <v/>
      </c>
      <c r="B52">
        <f>IF(Crowdfunding!G52="successful",Crowdfunding!H52,0)</f>
        <v>0</v>
      </c>
      <c r="C52" t="str">
        <f>IF(Crowdfunding!G52="failed","failed","")</f>
        <v>failed</v>
      </c>
      <c r="D52">
        <f>IF(Crowdfunding!G52="failed",Crowdfunding!H52,0)</f>
        <v>1</v>
      </c>
    </row>
    <row r="53" spans="1:4" x14ac:dyDescent="0.25">
      <c r="A53" t="str">
        <f>IF(Crowdfunding!G53="successful","successful","")</f>
        <v/>
      </c>
      <c r="B53">
        <f>IF(Crowdfunding!G53="successful",Crowdfunding!H53,0)</f>
        <v>0</v>
      </c>
      <c r="C53" t="str">
        <f>IF(Crowdfunding!G53="failed","failed","")</f>
        <v>failed</v>
      </c>
      <c r="D53">
        <f>IF(Crowdfunding!G53="failed",Crowdfunding!H53,0)</f>
        <v>1467</v>
      </c>
    </row>
    <row r="54" spans="1:4" x14ac:dyDescent="0.25">
      <c r="A54" t="str">
        <f>IF(Crowdfunding!G54="successful","successful","")</f>
        <v/>
      </c>
      <c r="B54">
        <f>IF(Crowdfunding!G54="successful",Crowdfunding!H54,0)</f>
        <v>0</v>
      </c>
      <c r="C54" t="str">
        <f>IF(Crowdfunding!G54="failed","failed","")</f>
        <v>failed</v>
      </c>
      <c r="D54">
        <f>IF(Crowdfunding!G54="failed",Crowdfunding!H54,0)</f>
        <v>75</v>
      </c>
    </row>
    <row r="55" spans="1:4" x14ac:dyDescent="0.25">
      <c r="A55" t="str">
        <f>IF(Crowdfunding!G55="successful","successful","")</f>
        <v>successful</v>
      </c>
      <c r="B55">
        <f>IF(Crowdfunding!G55="successful",Crowdfunding!H55,0)</f>
        <v>209</v>
      </c>
      <c r="C55" t="str">
        <f>IF(Crowdfunding!G55="failed","failed","")</f>
        <v/>
      </c>
      <c r="D55">
        <f>IF(Crowdfunding!G55="failed",Crowdfunding!H55,0)</f>
        <v>0</v>
      </c>
    </row>
    <row r="56" spans="1:4" x14ac:dyDescent="0.25">
      <c r="A56" t="str">
        <f>IF(Crowdfunding!G56="successful","successful","")</f>
        <v/>
      </c>
      <c r="B56">
        <f>IF(Crowdfunding!G56="successful",Crowdfunding!H56,0)</f>
        <v>0</v>
      </c>
      <c r="C56" t="str">
        <f>IF(Crowdfunding!G56="failed","failed","")</f>
        <v>failed</v>
      </c>
      <c r="D56">
        <f>IF(Crowdfunding!G56="failed",Crowdfunding!H56,0)</f>
        <v>120</v>
      </c>
    </row>
    <row r="57" spans="1:4" x14ac:dyDescent="0.25">
      <c r="A57" t="str">
        <f>IF(Crowdfunding!G57="successful","successful","")</f>
        <v>successful</v>
      </c>
      <c r="B57">
        <f>IF(Crowdfunding!G57="successful",Crowdfunding!H57,0)</f>
        <v>131</v>
      </c>
      <c r="C57" t="str">
        <f>IF(Crowdfunding!G57="failed","failed","")</f>
        <v/>
      </c>
      <c r="D57">
        <f>IF(Crowdfunding!G57="failed",Crowdfunding!H57,0)</f>
        <v>0</v>
      </c>
    </row>
    <row r="58" spans="1:4" x14ac:dyDescent="0.25">
      <c r="A58" t="str">
        <f>IF(Crowdfunding!G58="successful","successful","")</f>
        <v>successful</v>
      </c>
      <c r="B58">
        <f>IF(Crowdfunding!G58="successful",Crowdfunding!H58,0)</f>
        <v>164</v>
      </c>
      <c r="C58" t="str">
        <f>IF(Crowdfunding!G58="failed","failed","")</f>
        <v/>
      </c>
      <c r="D58">
        <f>IF(Crowdfunding!G58="failed",Crowdfunding!H58,0)</f>
        <v>0</v>
      </c>
    </row>
    <row r="59" spans="1:4" x14ac:dyDescent="0.25">
      <c r="A59" t="str">
        <f>IF(Crowdfunding!G59="successful","successful","")</f>
        <v>successful</v>
      </c>
      <c r="B59">
        <f>IF(Crowdfunding!G59="successful",Crowdfunding!H59,0)</f>
        <v>201</v>
      </c>
      <c r="C59" t="str">
        <f>IF(Crowdfunding!G59="failed","failed","")</f>
        <v/>
      </c>
      <c r="D59">
        <f>IF(Crowdfunding!G59="failed",Crowdfunding!H59,0)</f>
        <v>0</v>
      </c>
    </row>
    <row r="60" spans="1:4" x14ac:dyDescent="0.25">
      <c r="A60" t="str">
        <f>IF(Crowdfunding!G60="successful","successful","")</f>
        <v>successful</v>
      </c>
      <c r="B60">
        <f>IF(Crowdfunding!G60="successful",Crowdfunding!H60,0)</f>
        <v>211</v>
      </c>
      <c r="C60" t="str">
        <f>IF(Crowdfunding!G60="failed","failed","")</f>
        <v/>
      </c>
      <c r="D60">
        <f>IF(Crowdfunding!G60="failed",Crowdfunding!H60,0)</f>
        <v>0</v>
      </c>
    </row>
    <row r="61" spans="1:4" x14ac:dyDescent="0.25">
      <c r="A61" t="str">
        <f>IF(Crowdfunding!G61="successful","successful","")</f>
        <v>successful</v>
      </c>
      <c r="B61">
        <f>IF(Crowdfunding!G61="successful",Crowdfunding!H61,0)</f>
        <v>128</v>
      </c>
      <c r="C61" t="str">
        <f>IF(Crowdfunding!G61="failed","failed","")</f>
        <v/>
      </c>
      <c r="D61">
        <f>IF(Crowdfunding!G61="failed",Crowdfunding!H61,0)</f>
        <v>0</v>
      </c>
    </row>
    <row r="62" spans="1:4" x14ac:dyDescent="0.25">
      <c r="A62" t="str">
        <f>IF(Crowdfunding!G62="successful","successful","")</f>
        <v>successful</v>
      </c>
      <c r="B62">
        <f>IF(Crowdfunding!G62="successful",Crowdfunding!H62,0)</f>
        <v>1600</v>
      </c>
      <c r="C62" t="str">
        <f>IF(Crowdfunding!G62="failed","failed","")</f>
        <v/>
      </c>
      <c r="D62">
        <f>IF(Crowdfunding!G62="failed",Crowdfunding!H62,0)</f>
        <v>0</v>
      </c>
    </row>
    <row r="63" spans="1:4" x14ac:dyDescent="0.25">
      <c r="A63" t="str">
        <f>IF(Crowdfunding!G63="successful","successful","")</f>
        <v/>
      </c>
      <c r="B63">
        <f>IF(Crowdfunding!G63="successful",Crowdfunding!H63,0)</f>
        <v>0</v>
      </c>
      <c r="C63" t="str">
        <f>IF(Crowdfunding!G63="failed","failed","")</f>
        <v>failed</v>
      </c>
      <c r="D63">
        <f>IF(Crowdfunding!G63="failed",Crowdfunding!H63,0)</f>
        <v>2253</v>
      </c>
    </row>
    <row r="64" spans="1:4" x14ac:dyDescent="0.25">
      <c r="A64" t="str">
        <f>IF(Crowdfunding!G64="successful","successful","")</f>
        <v>successful</v>
      </c>
      <c r="B64">
        <f>IF(Crowdfunding!G64="successful",Crowdfunding!H64,0)</f>
        <v>249</v>
      </c>
      <c r="C64" t="str">
        <f>IF(Crowdfunding!G64="failed","failed","")</f>
        <v/>
      </c>
      <c r="D64">
        <f>IF(Crowdfunding!G64="failed",Crowdfunding!H64,0)</f>
        <v>0</v>
      </c>
    </row>
    <row r="65" spans="1:4" x14ac:dyDescent="0.25">
      <c r="A65" t="str">
        <f>IF(Crowdfunding!G65="successful","successful","")</f>
        <v/>
      </c>
      <c r="B65">
        <f>IF(Crowdfunding!G65="successful",Crowdfunding!H65,0)</f>
        <v>0</v>
      </c>
      <c r="C65" t="str">
        <f>IF(Crowdfunding!G65="failed","failed","")</f>
        <v>failed</v>
      </c>
      <c r="D65">
        <f>IF(Crowdfunding!G65="failed",Crowdfunding!H65,0)</f>
        <v>5</v>
      </c>
    </row>
    <row r="66" spans="1:4" x14ac:dyDescent="0.25">
      <c r="A66" t="str">
        <f>IF(Crowdfunding!G66="successful","successful","")</f>
        <v/>
      </c>
      <c r="B66">
        <f>IF(Crowdfunding!G66="successful",Crowdfunding!H66,0)</f>
        <v>0</v>
      </c>
      <c r="C66" t="str">
        <f>IF(Crowdfunding!G66="failed","failed","")</f>
        <v>failed</v>
      </c>
      <c r="D66">
        <f>IF(Crowdfunding!G66="failed",Crowdfunding!H66,0)</f>
        <v>38</v>
      </c>
    </row>
    <row r="67" spans="1:4" x14ac:dyDescent="0.25">
      <c r="A67" t="str">
        <f>IF(Crowdfunding!G67="successful","successful","")</f>
        <v>successful</v>
      </c>
      <c r="B67">
        <f>IF(Crowdfunding!G67="successful",Crowdfunding!H67,0)</f>
        <v>236</v>
      </c>
      <c r="C67" t="str">
        <f>IF(Crowdfunding!G67="failed","failed","")</f>
        <v/>
      </c>
      <c r="D67">
        <f>IF(Crowdfunding!G67="failed",Crowdfunding!H67,0)</f>
        <v>0</v>
      </c>
    </row>
    <row r="68" spans="1:4" x14ac:dyDescent="0.25">
      <c r="A68" t="str">
        <f>IF(Crowdfunding!G68="successful","successful","")</f>
        <v/>
      </c>
      <c r="B68">
        <f>IF(Crowdfunding!G68="successful",Crowdfunding!H68,0)</f>
        <v>0</v>
      </c>
      <c r="C68" t="str">
        <f>IF(Crowdfunding!G68="failed","failed","")</f>
        <v>failed</v>
      </c>
      <c r="D68">
        <f>IF(Crowdfunding!G68="failed",Crowdfunding!H68,0)</f>
        <v>12</v>
      </c>
    </row>
    <row r="69" spans="1:4" x14ac:dyDescent="0.25">
      <c r="A69" t="str">
        <f>IF(Crowdfunding!G69="successful","successful","")</f>
        <v>successful</v>
      </c>
      <c r="B69">
        <f>IF(Crowdfunding!G69="successful",Crowdfunding!H69,0)</f>
        <v>4065</v>
      </c>
      <c r="C69" t="str">
        <f>IF(Crowdfunding!G69="failed","failed","")</f>
        <v/>
      </c>
      <c r="D69">
        <f>IF(Crowdfunding!G69="failed",Crowdfunding!H69,0)</f>
        <v>0</v>
      </c>
    </row>
    <row r="70" spans="1:4" x14ac:dyDescent="0.25">
      <c r="A70" t="str">
        <f>IF(Crowdfunding!G70="successful","successful","")</f>
        <v>successful</v>
      </c>
      <c r="B70">
        <f>IF(Crowdfunding!G70="successful",Crowdfunding!H70,0)</f>
        <v>246</v>
      </c>
      <c r="C70" t="str">
        <f>IF(Crowdfunding!G70="failed","failed","")</f>
        <v/>
      </c>
      <c r="D70">
        <f>IF(Crowdfunding!G70="failed",Crowdfunding!H70,0)</f>
        <v>0</v>
      </c>
    </row>
    <row r="71" spans="1:4" x14ac:dyDescent="0.25">
      <c r="A71" t="str">
        <f>IF(Crowdfunding!G71="successful","successful","")</f>
        <v/>
      </c>
      <c r="B71">
        <f>IF(Crowdfunding!G71="successful",Crowdfunding!H71,0)</f>
        <v>0</v>
      </c>
      <c r="C71" t="str">
        <f>IF(Crowdfunding!G71="failed","failed","")</f>
        <v/>
      </c>
      <c r="D71">
        <f>IF(Crowdfunding!G71="failed",Crowdfunding!H71,0)</f>
        <v>0</v>
      </c>
    </row>
    <row r="72" spans="1:4" x14ac:dyDescent="0.25">
      <c r="A72" t="str">
        <f>IF(Crowdfunding!G72="successful","successful","")</f>
        <v>successful</v>
      </c>
      <c r="B72">
        <f>IF(Crowdfunding!G72="successful",Crowdfunding!H72,0)</f>
        <v>2475</v>
      </c>
      <c r="C72" t="str">
        <f>IF(Crowdfunding!G72="failed","failed","")</f>
        <v/>
      </c>
      <c r="D72">
        <f>IF(Crowdfunding!G72="failed",Crowdfunding!H72,0)</f>
        <v>0</v>
      </c>
    </row>
    <row r="73" spans="1:4" x14ac:dyDescent="0.25">
      <c r="A73" t="str">
        <f>IF(Crowdfunding!G73="successful","successful","")</f>
        <v>successful</v>
      </c>
      <c r="B73">
        <f>IF(Crowdfunding!G73="successful",Crowdfunding!H73,0)</f>
        <v>76</v>
      </c>
      <c r="C73" t="str">
        <f>IF(Crowdfunding!G73="failed","failed","")</f>
        <v/>
      </c>
      <c r="D73">
        <f>IF(Crowdfunding!G73="failed",Crowdfunding!H73,0)</f>
        <v>0</v>
      </c>
    </row>
    <row r="74" spans="1:4" x14ac:dyDescent="0.25">
      <c r="A74" t="str">
        <f>IF(Crowdfunding!G74="successful","successful","")</f>
        <v>successful</v>
      </c>
      <c r="B74">
        <f>IF(Crowdfunding!G74="successful",Crowdfunding!H74,0)</f>
        <v>54</v>
      </c>
      <c r="C74" t="str">
        <f>IF(Crowdfunding!G74="failed","failed","")</f>
        <v/>
      </c>
      <c r="D74">
        <f>IF(Crowdfunding!G74="failed",Crowdfunding!H74,0)</f>
        <v>0</v>
      </c>
    </row>
    <row r="75" spans="1:4" x14ac:dyDescent="0.25">
      <c r="A75" t="str">
        <f>IF(Crowdfunding!G75="successful","successful","")</f>
        <v>successful</v>
      </c>
      <c r="B75">
        <f>IF(Crowdfunding!G75="successful",Crowdfunding!H75,0)</f>
        <v>88</v>
      </c>
      <c r="C75" t="str">
        <f>IF(Crowdfunding!G75="failed","failed","")</f>
        <v/>
      </c>
      <c r="D75">
        <f>IF(Crowdfunding!G75="failed",Crowdfunding!H75,0)</f>
        <v>0</v>
      </c>
    </row>
    <row r="76" spans="1:4" x14ac:dyDescent="0.25">
      <c r="A76" t="str">
        <f>IF(Crowdfunding!G76="successful","successful","")</f>
        <v>successful</v>
      </c>
      <c r="B76">
        <f>IF(Crowdfunding!G76="successful",Crowdfunding!H76,0)</f>
        <v>85</v>
      </c>
      <c r="C76" t="str">
        <f>IF(Crowdfunding!G76="failed","failed","")</f>
        <v/>
      </c>
      <c r="D76">
        <f>IF(Crowdfunding!G76="failed",Crowdfunding!H76,0)</f>
        <v>0</v>
      </c>
    </row>
    <row r="77" spans="1:4" x14ac:dyDescent="0.25">
      <c r="A77" t="str">
        <f>IF(Crowdfunding!G77="successful","successful","")</f>
        <v>successful</v>
      </c>
      <c r="B77">
        <f>IF(Crowdfunding!G77="successful",Crowdfunding!H77,0)</f>
        <v>170</v>
      </c>
      <c r="C77" t="str">
        <f>IF(Crowdfunding!G77="failed","failed","")</f>
        <v/>
      </c>
      <c r="D77">
        <f>IF(Crowdfunding!G77="failed",Crowdfunding!H77,0)</f>
        <v>0</v>
      </c>
    </row>
    <row r="78" spans="1:4" x14ac:dyDescent="0.25">
      <c r="A78" t="str">
        <f>IF(Crowdfunding!G78="successful","successful","")</f>
        <v/>
      </c>
      <c r="B78">
        <f>IF(Crowdfunding!G78="successful",Crowdfunding!H78,0)</f>
        <v>0</v>
      </c>
      <c r="C78" t="str">
        <f>IF(Crowdfunding!G78="failed","failed","")</f>
        <v>failed</v>
      </c>
      <c r="D78">
        <f>IF(Crowdfunding!G78="failed",Crowdfunding!H78,0)</f>
        <v>1684</v>
      </c>
    </row>
    <row r="79" spans="1:4" x14ac:dyDescent="0.25">
      <c r="A79" t="str">
        <f>IF(Crowdfunding!G79="successful","successful","")</f>
        <v/>
      </c>
      <c r="B79">
        <f>IF(Crowdfunding!G79="successful",Crowdfunding!H79,0)</f>
        <v>0</v>
      </c>
      <c r="C79" t="str">
        <f>IF(Crowdfunding!G79="failed","failed","")</f>
        <v>failed</v>
      </c>
      <c r="D79">
        <f>IF(Crowdfunding!G79="failed",Crowdfunding!H79,0)</f>
        <v>56</v>
      </c>
    </row>
    <row r="80" spans="1:4" x14ac:dyDescent="0.25">
      <c r="A80" t="str">
        <f>IF(Crowdfunding!G80="successful","successful","")</f>
        <v>successful</v>
      </c>
      <c r="B80">
        <f>IF(Crowdfunding!G80="successful",Crowdfunding!H80,0)</f>
        <v>330</v>
      </c>
      <c r="C80" t="str">
        <f>IF(Crowdfunding!G80="failed","failed","")</f>
        <v/>
      </c>
      <c r="D80">
        <f>IF(Crowdfunding!G80="failed",Crowdfunding!H80,0)</f>
        <v>0</v>
      </c>
    </row>
    <row r="81" spans="1:4" x14ac:dyDescent="0.25">
      <c r="A81" t="str">
        <f>IF(Crowdfunding!G81="successful","successful","")</f>
        <v/>
      </c>
      <c r="B81">
        <f>IF(Crowdfunding!G81="successful",Crowdfunding!H81,0)</f>
        <v>0</v>
      </c>
      <c r="C81" t="str">
        <f>IF(Crowdfunding!G81="failed","failed","")</f>
        <v>failed</v>
      </c>
      <c r="D81">
        <f>IF(Crowdfunding!G81="failed",Crowdfunding!H81,0)</f>
        <v>838</v>
      </c>
    </row>
    <row r="82" spans="1:4" x14ac:dyDescent="0.25">
      <c r="A82" t="str">
        <f>IF(Crowdfunding!G82="successful","successful","")</f>
        <v>successful</v>
      </c>
      <c r="B82">
        <f>IF(Crowdfunding!G82="successful",Crowdfunding!H82,0)</f>
        <v>127</v>
      </c>
      <c r="C82" t="str">
        <f>IF(Crowdfunding!G82="failed","failed","")</f>
        <v/>
      </c>
      <c r="D82">
        <f>IF(Crowdfunding!G82="failed",Crowdfunding!H82,0)</f>
        <v>0</v>
      </c>
    </row>
    <row r="83" spans="1:4" x14ac:dyDescent="0.25">
      <c r="A83" t="str">
        <f>IF(Crowdfunding!G83="successful","successful","")</f>
        <v>successful</v>
      </c>
      <c r="B83">
        <f>IF(Crowdfunding!G83="successful",Crowdfunding!H83,0)</f>
        <v>411</v>
      </c>
      <c r="C83" t="str">
        <f>IF(Crowdfunding!G83="failed","failed","")</f>
        <v/>
      </c>
      <c r="D83">
        <f>IF(Crowdfunding!G83="failed",Crowdfunding!H83,0)</f>
        <v>0</v>
      </c>
    </row>
    <row r="84" spans="1:4" x14ac:dyDescent="0.25">
      <c r="A84" t="str">
        <f>IF(Crowdfunding!G84="successful","successful","")</f>
        <v>successful</v>
      </c>
      <c r="B84">
        <f>IF(Crowdfunding!G84="successful",Crowdfunding!H84,0)</f>
        <v>180</v>
      </c>
      <c r="C84" t="str">
        <f>IF(Crowdfunding!G84="failed","failed","")</f>
        <v/>
      </c>
      <c r="D84">
        <f>IF(Crowdfunding!G84="failed",Crowdfunding!H84,0)</f>
        <v>0</v>
      </c>
    </row>
    <row r="85" spans="1:4" x14ac:dyDescent="0.25">
      <c r="A85" t="str">
        <f>IF(Crowdfunding!G85="successful","successful","")</f>
        <v/>
      </c>
      <c r="B85">
        <f>IF(Crowdfunding!G85="successful",Crowdfunding!H85,0)</f>
        <v>0</v>
      </c>
      <c r="C85" t="str">
        <f>IF(Crowdfunding!G85="failed","failed","")</f>
        <v>failed</v>
      </c>
      <c r="D85">
        <f>IF(Crowdfunding!G85="failed",Crowdfunding!H85,0)</f>
        <v>1000</v>
      </c>
    </row>
    <row r="86" spans="1:4" x14ac:dyDescent="0.25">
      <c r="A86" t="str">
        <f>IF(Crowdfunding!G86="successful","successful","")</f>
        <v>successful</v>
      </c>
      <c r="B86">
        <f>IF(Crowdfunding!G86="successful",Crowdfunding!H86,0)</f>
        <v>374</v>
      </c>
      <c r="C86" t="str">
        <f>IF(Crowdfunding!G86="failed","failed","")</f>
        <v/>
      </c>
      <c r="D86">
        <f>IF(Crowdfunding!G86="failed",Crowdfunding!H86,0)</f>
        <v>0</v>
      </c>
    </row>
    <row r="87" spans="1:4" x14ac:dyDescent="0.25">
      <c r="A87" t="str">
        <f>IF(Crowdfunding!G87="successful","successful","")</f>
        <v>successful</v>
      </c>
      <c r="B87">
        <f>IF(Crowdfunding!G87="successful",Crowdfunding!H87,0)</f>
        <v>71</v>
      </c>
      <c r="C87" t="str">
        <f>IF(Crowdfunding!G87="failed","failed","")</f>
        <v/>
      </c>
      <c r="D87">
        <f>IF(Crowdfunding!G87="failed",Crowdfunding!H87,0)</f>
        <v>0</v>
      </c>
    </row>
    <row r="88" spans="1:4" x14ac:dyDescent="0.25">
      <c r="A88" t="str">
        <f>IF(Crowdfunding!G88="successful","successful","")</f>
        <v>successful</v>
      </c>
      <c r="B88">
        <f>IF(Crowdfunding!G88="successful",Crowdfunding!H88,0)</f>
        <v>203</v>
      </c>
      <c r="C88" t="str">
        <f>IF(Crowdfunding!G88="failed","failed","")</f>
        <v/>
      </c>
      <c r="D88">
        <f>IF(Crowdfunding!G88="failed",Crowdfunding!H88,0)</f>
        <v>0</v>
      </c>
    </row>
    <row r="89" spans="1:4" x14ac:dyDescent="0.25">
      <c r="A89" t="str">
        <f>IF(Crowdfunding!G89="successful","successful","")</f>
        <v/>
      </c>
      <c r="B89">
        <f>IF(Crowdfunding!G89="successful",Crowdfunding!H89,0)</f>
        <v>0</v>
      </c>
      <c r="C89" t="str">
        <f>IF(Crowdfunding!G89="failed","failed","")</f>
        <v>failed</v>
      </c>
      <c r="D89">
        <f>IF(Crowdfunding!G89="failed",Crowdfunding!H89,0)</f>
        <v>1482</v>
      </c>
    </row>
    <row r="90" spans="1:4" x14ac:dyDescent="0.25">
      <c r="A90" t="str">
        <f>IF(Crowdfunding!G90="successful","successful","")</f>
        <v>successful</v>
      </c>
      <c r="B90">
        <f>IF(Crowdfunding!G90="successful",Crowdfunding!H90,0)</f>
        <v>113</v>
      </c>
      <c r="C90" t="str">
        <f>IF(Crowdfunding!G90="failed","failed","")</f>
        <v/>
      </c>
      <c r="D90">
        <f>IF(Crowdfunding!G90="failed",Crowdfunding!H90,0)</f>
        <v>0</v>
      </c>
    </row>
    <row r="91" spans="1:4" x14ac:dyDescent="0.25">
      <c r="A91" t="str">
        <f>IF(Crowdfunding!G91="successful","successful","")</f>
        <v>successful</v>
      </c>
      <c r="B91">
        <f>IF(Crowdfunding!G91="successful",Crowdfunding!H91,0)</f>
        <v>96</v>
      </c>
      <c r="C91" t="str">
        <f>IF(Crowdfunding!G91="failed","failed","")</f>
        <v/>
      </c>
      <c r="D91">
        <f>IF(Crowdfunding!G91="failed",Crowdfunding!H91,0)</f>
        <v>0</v>
      </c>
    </row>
    <row r="92" spans="1:4" x14ac:dyDescent="0.25">
      <c r="A92" t="str">
        <f>IF(Crowdfunding!G92="successful","successful","")</f>
        <v/>
      </c>
      <c r="B92">
        <f>IF(Crowdfunding!G92="successful",Crowdfunding!H92,0)</f>
        <v>0</v>
      </c>
      <c r="C92" t="str">
        <f>IF(Crowdfunding!G92="failed","failed","")</f>
        <v>failed</v>
      </c>
      <c r="D92">
        <f>IF(Crowdfunding!G92="failed",Crowdfunding!H92,0)</f>
        <v>106</v>
      </c>
    </row>
    <row r="93" spans="1:4" x14ac:dyDescent="0.25">
      <c r="A93" t="str">
        <f>IF(Crowdfunding!G93="successful","successful","")</f>
        <v/>
      </c>
      <c r="B93">
        <f>IF(Crowdfunding!G93="successful",Crowdfunding!H93,0)</f>
        <v>0</v>
      </c>
      <c r="C93" t="str">
        <f>IF(Crowdfunding!G93="failed","failed","")</f>
        <v>failed</v>
      </c>
      <c r="D93">
        <f>IF(Crowdfunding!G93="failed",Crowdfunding!H93,0)</f>
        <v>679</v>
      </c>
    </row>
    <row r="94" spans="1:4" x14ac:dyDescent="0.25">
      <c r="A94" t="str">
        <f>IF(Crowdfunding!G94="successful","successful","")</f>
        <v>successful</v>
      </c>
      <c r="B94">
        <f>IF(Crowdfunding!G94="successful",Crowdfunding!H94,0)</f>
        <v>498</v>
      </c>
      <c r="C94" t="str">
        <f>IF(Crowdfunding!G94="failed","failed","")</f>
        <v/>
      </c>
      <c r="D94">
        <f>IF(Crowdfunding!G94="failed",Crowdfunding!H94,0)</f>
        <v>0</v>
      </c>
    </row>
    <row r="95" spans="1:4" x14ac:dyDescent="0.25">
      <c r="A95" t="str">
        <f>IF(Crowdfunding!G95="successful","successful","")</f>
        <v/>
      </c>
      <c r="B95">
        <f>IF(Crowdfunding!G95="successful",Crowdfunding!H95,0)</f>
        <v>0</v>
      </c>
      <c r="C95" t="str">
        <f>IF(Crowdfunding!G95="failed","failed","")</f>
        <v/>
      </c>
      <c r="D95">
        <f>IF(Crowdfunding!G95="failed",Crowdfunding!H95,0)</f>
        <v>0</v>
      </c>
    </row>
    <row r="96" spans="1:4" x14ac:dyDescent="0.25">
      <c r="A96" t="str">
        <f>IF(Crowdfunding!G96="successful","successful","")</f>
        <v>successful</v>
      </c>
      <c r="B96">
        <f>IF(Crowdfunding!G96="successful",Crowdfunding!H96,0)</f>
        <v>180</v>
      </c>
      <c r="C96" t="str">
        <f>IF(Crowdfunding!G96="failed","failed","")</f>
        <v/>
      </c>
      <c r="D96">
        <f>IF(Crowdfunding!G96="failed",Crowdfunding!H96,0)</f>
        <v>0</v>
      </c>
    </row>
    <row r="97" spans="1:4" x14ac:dyDescent="0.25">
      <c r="A97" t="str">
        <f>IF(Crowdfunding!G97="successful","successful","")</f>
        <v>successful</v>
      </c>
      <c r="B97">
        <f>IF(Crowdfunding!G97="successful",Crowdfunding!H97,0)</f>
        <v>27</v>
      </c>
      <c r="C97" t="str">
        <f>IF(Crowdfunding!G97="failed","failed","")</f>
        <v/>
      </c>
      <c r="D97">
        <f>IF(Crowdfunding!G97="failed",Crowdfunding!H97,0)</f>
        <v>0</v>
      </c>
    </row>
    <row r="98" spans="1:4" x14ac:dyDescent="0.25">
      <c r="A98" t="str">
        <f>IF(Crowdfunding!G98="successful","successful","")</f>
        <v>successful</v>
      </c>
      <c r="B98">
        <f>IF(Crowdfunding!G98="successful",Crowdfunding!H98,0)</f>
        <v>2331</v>
      </c>
      <c r="C98" t="str">
        <f>IF(Crowdfunding!G98="failed","failed","")</f>
        <v/>
      </c>
      <c r="D98">
        <f>IF(Crowdfunding!G98="failed",Crowdfunding!H98,0)</f>
        <v>0</v>
      </c>
    </row>
    <row r="99" spans="1:4" x14ac:dyDescent="0.25">
      <c r="A99" t="str">
        <f>IF(Crowdfunding!G99="successful","successful","")</f>
        <v>successful</v>
      </c>
      <c r="B99">
        <f>IF(Crowdfunding!G99="successful",Crowdfunding!H99,0)</f>
        <v>113</v>
      </c>
      <c r="C99" t="str">
        <f>IF(Crowdfunding!G99="failed","failed","")</f>
        <v/>
      </c>
      <c r="D99">
        <f>IF(Crowdfunding!G99="failed",Crowdfunding!H99,0)</f>
        <v>0</v>
      </c>
    </row>
    <row r="100" spans="1:4" x14ac:dyDescent="0.25">
      <c r="A100" t="str">
        <f>IF(Crowdfunding!G100="successful","successful","")</f>
        <v/>
      </c>
      <c r="B100">
        <f>IF(Crowdfunding!G100="successful",Crowdfunding!H100,0)</f>
        <v>0</v>
      </c>
      <c r="C100" t="str">
        <f>IF(Crowdfunding!G100="failed","failed","")</f>
        <v>failed</v>
      </c>
      <c r="D100">
        <f>IF(Crowdfunding!G100="failed",Crowdfunding!H100,0)</f>
        <v>1220</v>
      </c>
    </row>
    <row r="101" spans="1:4" x14ac:dyDescent="0.25">
      <c r="A101" t="str">
        <f>IF(Crowdfunding!G101="successful","successful","")</f>
        <v>successful</v>
      </c>
      <c r="B101">
        <f>IF(Crowdfunding!G101="successful",Crowdfunding!H101,0)</f>
        <v>164</v>
      </c>
      <c r="C101" t="str">
        <f>IF(Crowdfunding!G101="failed","failed","")</f>
        <v/>
      </c>
      <c r="D101">
        <f>IF(Crowdfunding!G101="failed",Crowdfunding!H101,0)</f>
        <v>0</v>
      </c>
    </row>
    <row r="102" spans="1:4" x14ac:dyDescent="0.25">
      <c r="A102" t="str">
        <f>IF(Crowdfunding!G102="successful","successful","")</f>
        <v/>
      </c>
      <c r="B102">
        <f>IF(Crowdfunding!G102="successful",Crowdfunding!H102,0)</f>
        <v>0</v>
      </c>
      <c r="C102" t="str">
        <f>IF(Crowdfunding!G102="failed","failed","")</f>
        <v>failed</v>
      </c>
      <c r="D102">
        <f>IF(Crowdfunding!G102="failed",Crowdfunding!H102,0)</f>
        <v>1</v>
      </c>
    </row>
    <row r="103" spans="1:4" x14ac:dyDescent="0.25">
      <c r="A103" t="str">
        <f>IF(Crowdfunding!G103="successful","successful","")</f>
        <v>successful</v>
      </c>
      <c r="B103">
        <f>IF(Crowdfunding!G103="successful",Crowdfunding!H103,0)</f>
        <v>164</v>
      </c>
      <c r="C103" t="str">
        <f>IF(Crowdfunding!G103="failed","failed","")</f>
        <v/>
      </c>
      <c r="D103">
        <f>IF(Crowdfunding!G103="failed",Crowdfunding!H103,0)</f>
        <v>0</v>
      </c>
    </row>
    <row r="104" spans="1:4" x14ac:dyDescent="0.25">
      <c r="A104" t="str">
        <f>IF(Crowdfunding!G104="successful","successful","")</f>
        <v>successful</v>
      </c>
      <c r="B104">
        <f>IF(Crowdfunding!G104="successful",Crowdfunding!H104,0)</f>
        <v>336</v>
      </c>
      <c r="C104" t="str">
        <f>IF(Crowdfunding!G104="failed","failed","")</f>
        <v/>
      </c>
      <c r="D104">
        <f>IF(Crowdfunding!G104="failed",Crowdfunding!H104,0)</f>
        <v>0</v>
      </c>
    </row>
    <row r="105" spans="1:4" x14ac:dyDescent="0.25">
      <c r="A105" t="str">
        <f>IF(Crowdfunding!G105="successful","successful","")</f>
        <v/>
      </c>
      <c r="B105">
        <f>IF(Crowdfunding!G105="successful",Crowdfunding!H105,0)</f>
        <v>0</v>
      </c>
      <c r="C105" t="str">
        <f>IF(Crowdfunding!G105="failed","failed","")</f>
        <v>failed</v>
      </c>
      <c r="D105">
        <f>IF(Crowdfunding!G105="failed",Crowdfunding!H105,0)</f>
        <v>37</v>
      </c>
    </row>
    <row r="106" spans="1:4" x14ac:dyDescent="0.25">
      <c r="A106" t="str">
        <f>IF(Crowdfunding!G106="successful","successful","")</f>
        <v>successful</v>
      </c>
      <c r="B106">
        <f>IF(Crowdfunding!G106="successful",Crowdfunding!H106,0)</f>
        <v>1917</v>
      </c>
      <c r="C106" t="str">
        <f>IF(Crowdfunding!G106="failed","failed","")</f>
        <v/>
      </c>
      <c r="D106">
        <f>IF(Crowdfunding!G106="failed",Crowdfunding!H106,0)</f>
        <v>0</v>
      </c>
    </row>
    <row r="107" spans="1:4" x14ac:dyDescent="0.25">
      <c r="A107" t="str">
        <f>IF(Crowdfunding!G107="successful","successful","")</f>
        <v>successful</v>
      </c>
      <c r="B107">
        <f>IF(Crowdfunding!G107="successful",Crowdfunding!H107,0)</f>
        <v>95</v>
      </c>
      <c r="C107" t="str">
        <f>IF(Crowdfunding!G107="failed","failed","")</f>
        <v/>
      </c>
      <c r="D107">
        <f>IF(Crowdfunding!G107="failed",Crowdfunding!H107,0)</f>
        <v>0</v>
      </c>
    </row>
    <row r="108" spans="1:4" x14ac:dyDescent="0.25">
      <c r="A108" t="str">
        <f>IF(Crowdfunding!G108="successful","successful","")</f>
        <v>successful</v>
      </c>
      <c r="B108">
        <f>IF(Crowdfunding!G108="successful",Crowdfunding!H108,0)</f>
        <v>147</v>
      </c>
      <c r="C108" t="str">
        <f>IF(Crowdfunding!G108="failed","failed","")</f>
        <v/>
      </c>
      <c r="D108">
        <f>IF(Crowdfunding!G108="failed",Crowdfunding!H108,0)</f>
        <v>0</v>
      </c>
    </row>
    <row r="109" spans="1:4" x14ac:dyDescent="0.25">
      <c r="A109" t="str">
        <f>IF(Crowdfunding!G109="successful","successful","")</f>
        <v>successful</v>
      </c>
      <c r="B109">
        <f>IF(Crowdfunding!G109="successful",Crowdfunding!H109,0)</f>
        <v>86</v>
      </c>
      <c r="C109" t="str">
        <f>IF(Crowdfunding!G109="failed","failed","")</f>
        <v/>
      </c>
      <c r="D109">
        <f>IF(Crowdfunding!G109="failed",Crowdfunding!H109,0)</f>
        <v>0</v>
      </c>
    </row>
    <row r="110" spans="1:4" x14ac:dyDescent="0.25">
      <c r="A110" t="str">
        <f>IF(Crowdfunding!G110="successful","successful","")</f>
        <v>successful</v>
      </c>
      <c r="B110">
        <f>IF(Crowdfunding!G110="successful",Crowdfunding!H110,0)</f>
        <v>83</v>
      </c>
      <c r="C110" t="str">
        <f>IF(Crowdfunding!G110="failed","failed","")</f>
        <v/>
      </c>
      <c r="D110">
        <f>IF(Crowdfunding!G110="failed",Crowdfunding!H110,0)</f>
        <v>0</v>
      </c>
    </row>
    <row r="111" spans="1:4" x14ac:dyDescent="0.25">
      <c r="A111" t="str">
        <f>IF(Crowdfunding!G111="successful","successful","")</f>
        <v/>
      </c>
      <c r="B111">
        <f>IF(Crowdfunding!G111="successful",Crowdfunding!H111,0)</f>
        <v>0</v>
      </c>
      <c r="C111" t="str">
        <f>IF(Crowdfunding!G111="failed","failed","")</f>
        <v>failed</v>
      </c>
      <c r="D111">
        <f>IF(Crowdfunding!G111="failed",Crowdfunding!H111,0)</f>
        <v>60</v>
      </c>
    </row>
    <row r="112" spans="1:4" x14ac:dyDescent="0.25">
      <c r="A112" t="str">
        <f>IF(Crowdfunding!G112="successful","successful","")</f>
        <v/>
      </c>
      <c r="B112">
        <f>IF(Crowdfunding!G112="successful",Crowdfunding!H112,0)</f>
        <v>0</v>
      </c>
      <c r="C112" t="str">
        <f>IF(Crowdfunding!G112="failed","failed","")</f>
        <v>failed</v>
      </c>
      <c r="D112">
        <f>IF(Crowdfunding!G112="failed",Crowdfunding!H112,0)</f>
        <v>296</v>
      </c>
    </row>
    <row r="113" spans="1:4" x14ac:dyDescent="0.25">
      <c r="A113" t="str">
        <f>IF(Crowdfunding!G113="successful","successful","")</f>
        <v>successful</v>
      </c>
      <c r="B113">
        <f>IF(Crowdfunding!G113="successful",Crowdfunding!H113,0)</f>
        <v>676</v>
      </c>
      <c r="C113" t="str">
        <f>IF(Crowdfunding!G113="failed","failed","")</f>
        <v/>
      </c>
      <c r="D113">
        <f>IF(Crowdfunding!G113="failed",Crowdfunding!H113,0)</f>
        <v>0</v>
      </c>
    </row>
    <row r="114" spans="1:4" x14ac:dyDescent="0.25">
      <c r="A114" t="str">
        <f>IF(Crowdfunding!G114="successful","successful","")</f>
        <v>successful</v>
      </c>
      <c r="B114">
        <f>IF(Crowdfunding!G114="successful",Crowdfunding!H114,0)</f>
        <v>361</v>
      </c>
      <c r="C114" t="str">
        <f>IF(Crowdfunding!G114="failed","failed","")</f>
        <v/>
      </c>
      <c r="D114">
        <f>IF(Crowdfunding!G114="failed",Crowdfunding!H114,0)</f>
        <v>0</v>
      </c>
    </row>
    <row r="115" spans="1:4" x14ac:dyDescent="0.25">
      <c r="A115" t="str">
        <f>IF(Crowdfunding!G115="successful","successful","")</f>
        <v>successful</v>
      </c>
      <c r="B115">
        <f>IF(Crowdfunding!G115="successful",Crowdfunding!H115,0)</f>
        <v>131</v>
      </c>
      <c r="C115" t="str">
        <f>IF(Crowdfunding!G115="failed","failed","")</f>
        <v/>
      </c>
      <c r="D115">
        <f>IF(Crowdfunding!G115="failed",Crowdfunding!H115,0)</f>
        <v>0</v>
      </c>
    </row>
    <row r="116" spans="1:4" x14ac:dyDescent="0.25">
      <c r="A116" t="str">
        <f>IF(Crowdfunding!G116="successful","successful","")</f>
        <v>successful</v>
      </c>
      <c r="B116">
        <f>IF(Crowdfunding!G116="successful",Crowdfunding!H116,0)</f>
        <v>126</v>
      </c>
      <c r="C116" t="str">
        <f>IF(Crowdfunding!G116="failed","failed","")</f>
        <v/>
      </c>
      <c r="D116">
        <f>IF(Crowdfunding!G116="failed",Crowdfunding!H116,0)</f>
        <v>0</v>
      </c>
    </row>
    <row r="117" spans="1:4" x14ac:dyDescent="0.25">
      <c r="A117" t="str">
        <f>IF(Crowdfunding!G117="successful","successful","")</f>
        <v/>
      </c>
      <c r="B117">
        <f>IF(Crowdfunding!G117="successful",Crowdfunding!H117,0)</f>
        <v>0</v>
      </c>
      <c r="C117" t="str">
        <f>IF(Crowdfunding!G117="failed","failed","")</f>
        <v>failed</v>
      </c>
      <c r="D117">
        <f>IF(Crowdfunding!G117="failed",Crowdfunding!H117,0)</f>
        <v>3304</v>
      </c>
    </row>
    <row r="118" spans="1:4" x14ac:dyDescent="0.25">
      <c r="A118" t="str">
        <f>IF(Crowdfunding!G118="successful","successful","")</f>
        <v/>
      </c>
      <c r="B118">
        <f>IF(Crowdfunding!G118="successful",Crowdfunding!H118,0)</f>
        <v>0</v>
      </c>
      <c r="C118" t="str">
        <f>IF(Crowdfunding!G118="failed","failed","")</f>
        <v>failed</v>
      </c>
      <c r="D118">
        <f>IF(Crowdfunding!G118="failed",Crowdfunding!H118,0)</f>
        <v>73</v>
      </c>
    </row>
    <row r="119" spans="1:4" x14ac:dyDescent="0.25">
      <c r="A119" t="str">
        <f>IF(Crowdfunding!G119="successful","successful","")</f>
        <v>successful</v>
      </c>
      <c r="B119">
        <f>IF(Crowdfunding!G119="successful",Crowdfunding!H119,0)</f>
        <v>275</v>
      </c>
      <c r="C119" t="str">
        <f>IF(Crowdfunding!G119="failed","failed","")</f>
        <v/>
      </c>
      <c r="D119">
        <f>IF(Crowdfunding!G119="failed",Crowdfunding!H119,0)</f>
        <v>0</v>
      </c>
    </row>
    <row r="120" spans="1:4" x14ac:dyDescent="0.25">
      <c r="A120" t="str">
        <f>IF(Crowdfunding!G120="successful","successful","")</f>
        <v>successful</v>
      </c>
      <c r="B120">
        <f>IF(Crowdfunding!G120="successful",Crowdfunding!H120,0)</f>
        <v>67</v>
      </c>
      <c r="C120" t="str">
        <f>IF(Crowdfunding!G120="failed","failed","")</f>
        <v/>
      </c>
      <c r="D120">
        <f>IF(Crowdfunding!G120="failed",Crowdfunding!H120,0)</f>
        <v>0</v>
      </c>
    </row>
    <row r="121" spans="1:4" x14ac:dyDescent="0.25">
      <c r="A121" t="str">
        <f>IF(Crowdfunding!G121="successful","successful","")</f>
        <v>successful</v>
      </c>
      <c r="B121">
        <f>IF(Crowdfunding!G121="successful",Crowdfunding!H121,0)</f>
        <v>154</v>
      </c>
      <c r="C121" t="str">
        <f>IF(Crowdfunding!G121="failed","failed","")</f>
        <v/>
      </c>
      <c r="D121">
        <f>IF(Crowdfunding!G121="failed",Crowdfunding!H121,0)</f>
        <v>0</v>
      </c>
    </row>
    <row r="122" spans="1:4" x14ac:dyDescent="0.25">
      <c r="A122" t="str">
        <f>IF(Crowdfunding!G122="successful","successful","")</f>
        <v>successful</v>
      </c>
      <c r="B122">
        <f>IF(Crowdfunding!G122="successful",Crowdfunding!H122,0)</f>
        <v>1782</v>
      </c>
      <c r="C122" t="str">
        <f>IF(Crowdfunding!G122="failed","failed","")</f>
        <v/>
      </c>
      <c r="D122">
        <f>IF(Crowdfunding!G122="failed",Crowdfunding!H122,0)</f>
        <v>0</v>
      </c>
    </row>
    <row r="123" spans="1:4" x14ac:dyDescent="0.25">
      <c r="A123" t="str">
        <f>IF(Crowdfunding!G123="successful","successful","")</f>
        <v>successful</v>
      </c>
      <c r="B123">
        <f>IF(Crowdfunding!G123="successful",Crowdfunding!H123,0)</f>
        <v>903</v>
      </c>
      <c r="C123" t="str">
        <f>IF(Crowdfunding!G123="failed","failed","")</f>
        <v/>
      </c>
      <c r="D123">
        <f>IF(Crowdfunding!G123="failed",Crowdfunding!H123,0)</f>
        <v>0</v>
      </c>
    </row>
    <row r="124" spans="1:4" x14ac:dyDescent="0.25">
      <c r="A124" t="str">
        <f>IF(Crowdfunding!G124="successful","successful","")</f>
        <v/>
      </c>
      <c r="B124">
        <f>IF(Crowdfunding!G124="successful",Crowdfunding!H124,0)</f>
        <v>0</v>
      </c>
      <c r="C124" t="str">
        <f>IF(Crowdfunding!G124="failed","failed","")</f>
        <v>failed</v>
      </c>
      <c r="D124">
        <f>IF(Crowdfunding!G124="failed",Crowdfunding!H124,0)</f>
        <v>3387</v>
      </c>
    </row>
    <row r="125" spans="1:4" x14ac:dyDescent="0.25">
      <c r="A125" t="str">
        <f>IF(Crowdfunding!G125="successful","successful","")</f>
        <v/>
      </c>
      <c r="B125">
        <f>IF(Crowdfunding!G125="successful",Crowdfunding!H125,0)</f>
        <v>0</v>
      </c>
      <c r="C125" t="str">
        <f>IF(Crowdfunding!G125="failed","failed","")</f>
        <v>failed</v>
      </c>
      <c r="D125">
        <f>IF(Crowdfunding!G125="failed",Crowdfunding!H125,0)</f>
        <v>662</v>
      </c>
    </row>
    <row r="126" spans="1:4" x14ac:dyDescent="0.25">
      <c r="A126" t="str">
        <f>IF(Crowdfunding!G126="successful","successful","")</f>
        <v>successful</v>
      </c>
      <c r="B126">
        <f>IF(Crowdfunding!G126="successful",Crowdfunding!H126,0)</f>
        <v>94</v>
      </c>
      <c r="C126" t="str">
        <f>IF(Crowdfunding!G126="failed","failed","")</f>
        <v/>
      </c>
      <c r="D126">
        <f>IF(Crowdfunding!G126="failed",Crowdfunding!H126,0)</f>
        <v>0</v>
      </c>
    </row>
    <row r="127" spans="1:4" x14ac:dyDescent="0.25">
      <c r="A127" t="str">
        <f>IF(Crowdfunding!G127="successful","successful","")</f>
        <v>successful</v>
      </c>
      <c r="B127">
        <f>IF(Crowdfunding!G127="successful",Crowdfunding!H127,0)</f>
        <v>180</v>
      </c>
      <c r="C127" t="str">
        <f>IF(Crowdfunding!G127="failed","failed","")</f>
        <v/>
      </c>
      <c r="D127">
        <f>IF(Crowdfunding!G127="failed",Crowdfunding!H127,0)</f>
        <v>0</v>
      </c>
    </row>
    <row r="128" spans="1:4" x14ac:dyDescent="0.25">
      <c r="A128" t="str">
        <f>IF(Crowdfunding!G128="successful","successful","")</f>
        <v/>
      </c>
      <c r="B128">
        <f>IF(Crowdfunding!G128="successful",Crowdfunding!H128,0)</f>
        <v>0</v>
      </c>
      <c r="C128" t="str">
        <f>IF(Crowdfunding!G128="failed","failed","")</f>
        <v>failed</v>
      </c>
      <c r="D128">
        <f>IF(Crowdfunding!G128="failed",Crowdfunding!H128,0)</f>
        <v>774</v>
      </c>
    </row>
    <row r="129" spans="1:4" x14ac:dyDescent="0.25">
      <c r="A129" t="str">
        <f>IF(Crowdfunding!G129="successful","successful","")</f>
        <v/>
      </c>
      <c r="B129">
        <f>IF(Crowdfunding!G129="successful",Crowdfunding!H129,0)</f>
        <v>0</v>
      </c>
      <c r="C129" t="str">
        <f>IF(Crowdfunding!G129="failed","failed","")</f>
        <v>failed</v>
      </c>
      <c r="D129">
        <f>IF(Crowdfunding!G129="failed",Crowdfunding!H129,0)</f>
        <v>672</v>
      </c>
    </row>
    <row r="130" spans="1:4" x14ac:dyDescent="0.25">
      <c r="A130" t="str">
        <f>IF(Crowdfunding!G130="successful","successful","")</f>
        <v/>
      </c>
      <c r="B130">
        <f>IF(Crowdfunding!G130="successful",Crowdfunding!H130,0)</f>
        <v>0</v>
      </c>
      <c r="C130" t="str">
        <f>IF(Crowdfunding!G130="failed","failed","")</f>
        <v/>
      </c>
      <c r="D130">
        <f>IF(Crowdfunding!G130="failed",Crowdfunding!H130,0)</f>
        <v>0</v>
      </c>
    </row>
    <row r="131" spans="1:4" x14ac:dyDescent="0.25">
      <c r="A131" t="str">
        <f>IF(Crowdfunding!G131="successful","successful","")</f>
        <v/>
      </c>
      <c r="B131">
        <f>IF(Crowdfunding!G131="successful",Crowdfunding!H131,0)</f>
        <v>0</v>
      </c>
      <c r="C131" t="str">
        <f>IF(Crowdfunding!G131="failed","failed","")</f>
        <v/>
      </c>
      <c r="D131">
        <f>IF(Crowdfunding!G131="failed",Crowdfunding!H131,0)</f>
        <v>0</v>
      </c>
    </row>
    <row r="132" spans="1:4" x14ac:dyDescent="0.25">
      <c r="A132" t="str">
        <f>IF(Crowdfunding!G132="successful","successful","")</f>
        <v>successful</v>
      </c>
      <c r="B132">
        <f>IF(Crowdfunding!G132="successful",Crowdfunding!H132,0)</f>
        <v>533</v>
      </c>
      <c r="C132" t="str">
        <f>IF(Crowdfunding!G132="failed","failed","")</f>
        <v/>
      </c>
      <c r="D132">
        <f>IF(Crowdfunding!G132="failed",Crowdfunding!H132,0)</f>
        <v>0</v>
      </c>
    </row>
    <row r="133" spans="1:4" x14ac:dyDescent="0.25">
      <c r="A133" t="str">
        <f>IF(Crowdfunding!G133="successful","successful","")</f>
        <v>successful</v>
      </c>
      <c r="B133">
        <f>IF(Crowdfunding!G133="successful",Crowdfunding!H133,0)</f>
        <v>2443</v>
      </c>
      <c r="C133" t="str">
        <f>IF(Crowdfunding!G133="failed","failed","")</f>
        <v/>
      </c>
      <c r="D133">
        <f>IF(Crowdfunding!G133="failed",Crowdfunding!H133,0)</f>
        <v>0</v>
      </c>
    </row>
    <row r="134" spans="1:4" x14ac:dyDescent="0.25">
      <c r="A134" t="str">
        <f>IF(Crowdfunding!G134="successful","successful","")</f>
        <v>successful</v>
      </c>
      <c r="B134">
        <f>IF(Crowdfunding!G134="successful",Crowdfunding!H134,0)</f>
        <v>89</v>
      </c>
      <c r="C134" t="str">
        <f>IF(Crowdfunding!G134="failed","failed","")</f>
        <v/>
      </c>
      <c r="D134">
        <f>IF(Crowdfunding!G134="failed",Crowdfunding!H134,0)</f>
        <v>0</v>
      </c>
    </row>
    <row r="135" spans="1:4" x14ac:dyDescent="0.25">
      <c r="A135" t="str">
        <f>IF(Crowdfunding!G135="successful","successful","")</f>
        <v>successful</v>
      </c>
      <c r="B135">
        <f>IF(Crowdfunding!G135="successful",Crowdfunding!H135,0)</f>
        <v>159</v>
      </c>
      <c r="C135" t="str">
        <f>IF(Crowdfunding!G135="failed","failed","")</f>
        <v/>
      </c>
      <c r="D135">
        <f>IF(Crowdfunding!G135="failed",Crowdfunding!H135,0)</f>
        <v>0</v>
      </c>
    </row>
    <row r="136" spans="1:4" x14ac:dyDescent="0.25">
      <c r="A136" t="str">
        <f>IF(Crowdfunding!G136="successful","successful","")</f>
        <v/>
      </c>
      <c r="B136">
        <f>IF(Crowdfunding!G136="successful",Crowdfunding!H136,0)</f>
        <v>0</v>
      </c>
      <c r="C136" t="str">
        <f>IF(Crowdfunding!G136="failed","failed","")</f>
        <v>failed</v>
      </c>
      <c r="D136">
        <f>IF(Crowdfunding!G136="failed",Crowdfunding!H136,0)</f>
        <v>940</v>
      </c>
    </row>
    <row r="137" spans="1:4" x14ac:dyDescent="0.25">
      <c r="A137" t="str">
        <f>IF(Crowdfunding!G137="successful","successful","")</f>
        <v/>
      </c>
      <c r="B137">
        <f>IF(Crowdfunding!G137="successful",Crowdfunding!H137,0)</f>
        <v>0</v>
      </c>
      <c r="C137" t="str">
        <f>IF(Crowdfunding!G137="failed","failed","")</f>
        <v>failed</v>
      </c>
      <c r="D137">
        <f>IF(Crowdfunding!G137="failed",Crowdfunding!H137,0)</f>
        <v>117</v>
      </c>
    </row>
    <row r="138" spans="1:4" x14ac:dyDescent="0.25">
      <c r="A138" t="str">
        <f>IF(Crowdfunding!G138="successful","successful","")</f>
        <v/>
      </c>
      <c r="B138">
        <f>IF(Crowdfunding!G138="successful",Crowdfunding!H138,0)</f>
        <v>0</v>
      </c>
      <c r="C138" t="str">
        <f>IF(Crowdfunding!G138="failed","failed","")</f>
        <v/>
      </c>
      <c r="D138">
        <f>IF(Crowdfunding!G138="failed",Crowdfunding!H138,0)</f>
        <v>0</v>
      </c>
    </row>
    <row r="139" spans="1:4" x14ac:dyDescent="0.25">
      <c r="A139" t="str">
        <f>IF(Crowdfunding!G139="successful","successful","")</f>
        <v>successful</v>
      </c>
      <c r="B139">
        <f>IF(Crowdfunding!G139="successful",Crowdfunding!H139,0)</f>
        <v>50</v>
      </c>
      <c r="C139" t="str">
        <f>IF(Crowdfunding!G139="failed","failed","")</f>
        <v/>
      </c>
      <c r="D139">
        <f>IF(Crowdfunding!G139="failed",Crowdfunding!H139,0)</f>
        <v>0</v>
      </c>
    </row>
    <row r="140" spans="1:4" x14ac:dyDescent="0.25">
      <c r="A140" t="str">
        <f>IF(Crowdfunding!G140="successful","successful","")</f>
        <v/>
      </c>
      <c r="B140">
        <f>IF(Crowdfunding!G140="successful",Crowdfunding!H140,0)</f>
        <v>0</v>
      </c>
      <c r="C140" t="str">
        <f>IF(Crowdfunding!G140="failed","failed","")</f>
        <v>failed</v>
      </c>
      <c r="D140">
        <f>IF(Crowdfunding!G140="failed",Crowdfunding!H140,0)</f>
        <v>115</v>
      </c>
    </row>
    <row r="141" spans="1:4" x14ac:dyDescent="0.25">
      <c r="A141" t="str">
        <f>IF(Crowdfunding!G141="successful","successful","")</f>
        <v/>
      </c>
      <c r="B141">
        <f>IF(Crowdfunding!G141="successful",Crowdfunding!H141,0)</f>
        <v>0</v>
      </c>
      <c r="C141" t="str">
        <f>IF(Crowdfunding!G141="failed","failed","")</f>
        <v>failed</v>
      </c>
      <c r="D141">
        <f>IF(Crowdfunding!G141="failed",Crowdfunding!H141,0)</f>
        <v>326</v>
      </c>
    </row>
    <row r="142" spans="1:4" x14ac:dyDescent="0.25">
      <c r="A142" t="str">
        <f>IF(Crowdfunding!G142="successful","successful","")</f>
        <v>successful</v>
      </c>
      <c r="B142">
        <f>IF(Crowdfunding!G142="successful",Crowdfunding!H142,0)</f>
        <v>186</v>
      </c>
      <c r="C142" t="str">
        <f>IF(Crowdfunding!G142="failed","failed","")</f>
        <v/>
      </c>
      <c r="D142">
        <f>IF(Crowdfunding!G142="failed",Crowdfunding!H142,0)</f>
        <v>0</v>
      </c>
    </row>
    <row r="143" spans="1:4" x14ac:dyDescent="0.25">
      <c r="A143" t="str">
        <f>IF(Crowdfunding!G143="successful","successful","")</f>
        <v>successful</v>
      </c>
      <c r="B143">
        <f>IF(Crowdfunding!G143="successful",Crowdfunding!H143,0)</f>
        <v>1071</v>
      </c>
      <c r="C143" t="str">
        <f>IF(Crowdfunding!G143="failed","failed","")</f>
        <v/>
      </c>
      <c r="D143">
        <f>IF(Crowdfunding!G143="failed",Crowdfunding!H143,0)</f>
        <v>0</v>
      </c>
    </row>
    <row r="144" spans="1:4" x14ac:dyDescent="0.25">
      <c r="A144" t="str">
        <f>IF(Crowdfunding!G144="successful","successful","")</f>
        <v>successful</v>
      </c>
      <c r="B144">
        <f>IF(Crowdfunding!G144="successful",Crowdfunding!H144,0)</f>
        <v>117</v>
      </c>
      <c r="C144" t="str">
        <f>IF(Crowdfunding!G144="failed","failed","")</f>
        <v/>
      </c>
      <c r="D144">
        <f>IF(Crowdfunding!G144="failed",Crowdfunding!H144,0)</f>
        <v>0</v>
      </c>
    </row>
    <row r="145" spans="1:4" x14ac:dyDescent="0.25">
      <c r="A145" t="str">
        <f>IF(Crowdfunding!G145="successful","successful","")</f>
        <v>successful</v>
      </c>
      <c r="B145">
        <f>IF(Crowdfunding!G145="successful",Crowdfunding!H145,0)</f>
        <v>70</v>
      </c>
      <c r="C145" t="str">
        <f>IF(Crowdfunding!G145="failed","failed","")</f>
        <v/>
      </c>
      <c r="D145">
        <f>IF(Crowdfunding!G145="failed",Crowdfunding!H145,0)</f>
        <v>0</v>
      </c>
    </row>
    <row r="146" spans="1:4" x14ac:dyDescent="0.25">
      <c r="A146" t="str">
        <f>IF(Crowdfunding!G146="successful","successful","")</f>
        <v>successful</v>
      </c>
      <c r="B146">
        <f>IF(Crowdfunding!G146="successful",Crowdfunding!H146,0)</f>
        <v>135</v>
      </c>
      <c r="C146" t="str">
        <f>IF(Crowdfunding!G146="failed","failed","")</f>
        <v/>
      </c>
      <c r="D146">
        <f>IF(Crowdfunding!G146="failed",Crowdfunding!H146,0)</f>
        <v>0</v>
      </c>
    </row>
    <row r="147" spans="1:4" x14ac:dyDescent="0.25">
      <c r="A147" t="str">
        <f>IF(Crowdfunding!G147="successful","successful","")</f>
        <v>successful</v>
      </c>
      <c r="B147">
        <f>IF(Crowdfunding!G147="successful",Crowdfunding!H147,0)</f>
        <v>768</v>
      </c>
      <c r="C147" t="str">
        <f>IF(Crowdfunding!G147="failed","failed","")</f>
        <v/>
      </c>
      <c r="D147">
        <f>IF(Crowdfunding!G147="failed",Crowdfunding!H147,0)</f>
        <v>0</v>
      </c>
    </row>
    <row r="148" spans="1:4" x14ac:dyDescent="0.25">
      <c r="A148" t="str">
        <f>IF(Crowdfunding!G148="successful","successful","")</f>
        <v/>
      </c>
      <c r="B148">
        <f>IF(Crowdfunding!G148="successful",Crowdfunding!H148,0)</f>
        <v>0</v>
      </c>
      <c r="C148" t="str">
        <f>IF(Crowdfunding!G148="failed","failed","")</f>
        <v/>
      </c>
      <c r="D148">
        <f>IF(Crowdfunding!G148="failed",Crowdfunding!H148,0)</f>
        <v>0</v>
      </c>
    </row>
    <row r="149" spans="1:4" x14ac:dyDescent="0.25">
      <c r="A149" t="str">
        <f>IF(Crowdfunding!G149="successful","successful","")</f>
        <v>successful</v>
      </c>
      <c r="B149">
        <f>IF(Crowdfunding!G149="successful",Crowdfunding!H149,0)</f>
        <v>199</v>
      </c>
      <c r="C149" t="str">
        <f>IF(Crowdfunding!G149="failed","failed","")</f>
        <v/>
      </c>
      <c r="D149">
        <f>IF(Crowdfunding!G149="failed",Crowdfunding!H149,0)</f>
        <v>0</v>
      </c>
    </row>
    <row r="150" spans="1:4" x14ac:dyDescent="0.25">
      <c r="A150" t="str">
        <f>IF(Crowdfunding!G150="successful","successful","")</f>
        <v>successful</v>
      </c>
      <c r="B150">
        <f>IF(Crowdfunding!G150="successful",Crowdfunding!H150,0)</f>
        <v>107</v>
      </c>
      <c r="C150" t="str">
        <f>IF(Crowdfunding!G150="failed","failed","")</f>
        <v/>
      </c>
      <c r="D150">
        <f>IF(Crowdfunding!G150="failed",Crowdfunding!H150,0)</f>
        <v>0</v>
      </c>
    </row>
    <row r="151" spans="1:4" x14ac:dyDescent="0.25">
      <c r="A151" t="str">
        <f>IF(Crowdfunding!G151="successful","successful","")</f>
        <v>successful</v>
      </c>
      <c r="B151">
        <f>IF(Crowdfunding!G151="successful",Crowdfunding!H151,0)</f>
        <v>195</v>
      </c>
      <c r="C151" t="str">
        <f>IF(Crowdfunding!G151="failed","failed","")</f>
        <v/>
      </c>
      <c r="D151">
        <f>IF(Crowdfunding!G151="failed",Crowdfunding!H151,0)</f>
        <v>0</v>
      </c>
    </row>
    <row r="152" spans="1:4" x14ac:dyDescent="0.25">
      <c r="A152" t="str">
        <f>IF(Crowdfunding!G152="successful","successful","")</f>
        <v/>
      </c>
      <c r="B152">
        <f>IF(Crowdfunding!G152="successful",Crowdfunding!H152,0)</f>
        <v>0</v>
      </c>
      <c r="C152" t="str">
        <f>IF(Crowdfunding!G152="failed","failed","")</f>
        <v>failed</v>
      </c>
      <c r="D152">
        <f>IF(Crowdfunding!G152="failed",Crowdfunding!H152,0)</f>
        <v>1</v>
      </c>
    </row>
    <row r="153" spans="1:4" x14ac:dyDescent="0.25">
      <c r="A153" t="str">
        <f>IF(Crowdfunding!G153="successful","successful","")</f>
        <v/>
      </c>
      <c r="B153">
        <f>IF(Crowdfunding!G153="successful",Crowdfunding!H153,0)</f>
        <v>0</v>
      </c>
      <c r="C153" t="str">
        <f>IF(Crowdfunding!G153="failed","failed","")</f>
        <v>failed</v>
      </c>
      <c r="D153">
        <f>IF(Crowdfunding!G153="failed",Crowdfunding!H153,0)</f>
        <v>1467</v>
      </c>
    </row>
    <row r="154" spans="1:4" x14ac:dyDescent="0.25">
      <c r="A154" t="str">
        <f>IF(Crowdfunding!G154="successful","successful","")</f>
        <v>successful</v>
      </c>
      <c r="B154">
        <f>IF(Crowdfunding!G154="successful",Crowdfunding!H154,0)</f>
        <v>3376</v>
      </c>
      <c r="C154" t="str">
        <f>IF(Crowdfunding!G154="failed","failed","")</f>
        <v/>
      </c>
      <c r="D154">
        <f>IF(Crowdfunding!G154="failed",Crowdfunding!H154,0)</f>
        <v>0</v>
      </c>
    </row>
    <row r="155" spans="1:4" x14ac:dyDescent="0.25">
      <c r="A155" t="str">
        <f>IF(Crowdfunding!G155="successful","successful","")</f>
        <v/>
      </c>
      <c r="B155">
        <f>IF(Crowdfunding!G155="successful",Crowdfunding!H155,0)</f>
        <v>0</v>
      </c>
      <c r="C155" t="str">
        <f>IF(Crowdfunding!G155="failed","failed","")</f>
        <v>failed</v>
      </c>
      <c r="D155">
        <f>IF(Crowdfunding!G155="failed",Crowdfunding!H155,0)</f>
        <v>5681</v>
      </c>
    </row>
    <row r="156" spans="1:4" x14ac:dyDescent="0.25">
      <c r="A156" t="str">
        <f>IF(Crowdfunding!G156="successful","successful","")</f>
        <v/>
      </c>
      <c r="B156">
        <f>IF(Crowdfunding!G156="successful",Crowdfunding!H156,0)</f>
        <v>0</v>
      </c>
      <c r="C156" t="str">
        <f>IF(Crowdfunding!G156="failed","failed","")</f>
        <v>failed</v>
      </c>
      <c r="D156">
        <f>IF(Crowdfunding!G156="failed",Crowdfunding!H156,0)</f>
        <v>1059</v>
      </c>
    </row>
    <row r="157" spans="1:4" x14ac:dyDescent="0.25">
      <c r="A157" t="str">
        <f>IF(Crowdfunding!G157="successful","successful","")</f>
        <v/>
      </c>
      <c r="B157">
        <f>IF(Crowdfunding!G157="successful",Crowdfunding!H157,0)</f>
        <v>0</v>
      </c>
      <c r="C157" t="str">
        <f>IF(Crowdfunding!G157="failed","failed","")</f>
        <v>failed</v>
      </c>
      <c r="D157">
        <f>IF(Crowdfunding!G157="failed",Crowdfunding!H157,0)</f>
        <v>1194</v>
      </c>
    </row>
    <row r="158" spans="1:4" x14ac:dyDescent="0.25">
      <c r="A158" t="str">
        <f>IF(Crowdfunding!G158="successful","successful","")</f>
        <v/>
      </c>
      <c r="B158">
        <f>IF(Crowdfunding!G158="successful",Crowdfunding!H158,0)</f>
        <v>0</v>
      </c>
      <c r="C158" t="str">
        <f>IF(Crowdfunding!G158="failed","failed","")</f>
        <v/>
      </c>
      <c r="D158">
        <f>IF(Crowdfunding!G158="failed",Crowdfunding!H158,0)</f>
        <v>0</v>
      </c>
    </row>
    <row r="159" spans="1:4" x14ac:dyDescent="0.25">
      <c r="A159" t="str">
        <f>IF(Crowdfunding!G159="successful","successful","")</f>
        <v/>
      </c>
      <c r="B159">
        <f>IF(Crowdfunding!G159="successful",Crowdfunding!H159,0)</f>
        <v>0</v>
      </c>
      <c r="C159" t="str">
        <f>IF(Crowdfunding!G159="failed","failed","")</f>
        <v>failed</v>
      </c>
      <c r="D159">
        <f>IF(Crowdfunding!G159="failed",Crowdfunding!H159,0)</f>
        <v>30</v>
      </c>
    </row>
    <row r="160" spans="1:4" x14ac:dyDescent="0.25">
      <c r="A160" t="str">
        <f>IF(Crowdfunding!G160="successful","successful","")</f>
        <v>successful</v>
      </c>
      <c r="B160">
        <f>IF(Crowdfunding!G160="successful",Crowdfunding!H160,0)</f>
        <v>41</v>
      </c>
      <c r="C160" t="str">
        <f>IF(Crowdfunding!G160="failed","failed","")</f>
        <v/>
      </c>
      <c r="D160">
        <f>IF(Crowdfunding!G160="failed",Crowdfunding!H160,0)</f>
        <v>0</v>
      </c>
    </row>
    <row r="161" spans="1:4" x14ac:dyDescent="0.25">
      <c r="A161" t="str">
        <f>IF(Crowdfunding!G161="successful","successful","")</f>
        <v>successful</v>
      </c>
      <c r="B161">
        <f>IF(Crowdfunding!G161="successful",Crowdfunding!H161,0)</f>
        <v>1821</v>
      </c>
      <c r="C161" t="str">
        <f>IF(Crowdfunding!G161="failed","failed","")</f>
        <v/>
      </c>
      <c r="D161">
        <f>IF(Crowdfunding!G161="failed",Crowdfunding!H161,0)</f>
        <v>0</v>
      </c>
    </row>
    <row r="162" spans="1:4" x14ac:dyDescent="0.25">
      <c r="A162" t="str">
        <f>IF(Crowdfunding!G162="successful","successful","")</f>
        <v>successful</v>
      </c>
      <c r="B162">
        <f>IF(Crowdfunding!G162="successful",Crowdfunding!H162,0)</f>
        <v>164</v>
      </c>
      <c r="C162" t="str">
        <f>IF(Crowdfunding!G162="failed","failed","")</f>
        <v/>
      </c>
      <c r="D162">
        <f>IF(Crowdfunding!G162="failed",Crowdfunding!H162,0)</f>
        <v>0</v>
      </c>
    </row>
    <row r="163" spans="1:4" x14ac:dyDescent="0.25">
      <c r="A163" t="str">
        <f>IF(Crowdfunding!G163="successful","successful","")</f>
        <v/>
      </c>
      <c r="B163">
        <f>IF(Crowdfunding!G163="successful",Crowdfunding!H163,0)</f>
        <v>0</v>
      </c>
      <c r="C163" t="str">
        <f>IF(Crowdfunding!G163="failed","failed","")</f>
        <v>failed</v>
      </c>
      <c r="D163">
        <f>IF(Crowdfunding!G163="failed",Crowdfunding!H163,0)</f>
        <v>75</v>
      </c>
    </row>
    <row r="164" spans="1:4" x14ac:dyDescent="0.25">
      <c r="A164" t="str">
        <f>IF(Crowdfunding!G164="successful","successful","")</f>
        <v>successful</v>
      </c>
      <c r="B164">
        <f>IF(Crowdfunding!G164="successful",Crowdfunding!H164,0)</f>
        <v>157</v>
      </c>
      <c r="C164" t="str">
        <f>IF(Crowdfunding!G164="failed","failed","")</f>
        <v/>
      </c>
      <c r="D164">
        <f>IF(Crowdfunding!G164="failed",Crowdfunding!H164,0)</f>
        <v>0</v>
      </c>
    </row>
    <row r="165" spans="1:4" x14ac:dyDescent="0.25">
      <c r="A165" t="str">
        <f>IF(Crowdfunding!G165="successful","successful","")</f>
        <v>successful</v>
      </c>
      <c r="B165">
        <f>IF(Crowdfunding!G165="successful",Crowdfunding!H165,0)</f>
        <v>246</v>
      </c>
      <c r="C165" t="str">
        <f>IF(Crowdfunding!G165="failed","failed","")</f>
        <v/>
      </c>
      <c r="D165">
        <f>IF(Crowdfunding!G165="failed",Crowdfunding!H165,0)</f>
        <v>0</v>
      </c>
    </row>
    <row r="166" spans="1:4" x14ac:dyDescent="0.25">
      <c r="A166" t="str">
        <f>IF(Crowdfunding!G166="successful","successful","")</f>
        <v>successful</v>
      </c>
      <c r="B166">
        <f>IF(Crowdfunding!G166="successful",Crowdfunding!H166,0)</f>
        <v>1396</v>
      </c>
      <c r="C166" t="str">
        <f>IF(Crowdfunding!G166="failed","failed","")</f>
        <v/>
      </c>
      <c r="D166">
        <f>IF(Crowdfunding!G166="failed",Crowdfunding!H166,0)</f>
        <v>0</v>
      </c>
    </row>
    <row r="167" spans="1:4" x14ac:dyDescent="0.25">
      <c r="A167" t="str">
        <f>IF(Crowdfunding!G167="successful","successful","")</f>
        <v>successful</v>
      </c>
      <c r="B167">
        <f>IF(Crowdfunding!G167="successful",Crowdfunding!H167,0)</f>
        <v>2506</v>
      </c>
      <c r="C167" t="str">
        <f>IF(Crowdfunding!G167="failed","failed","")</f>
        <v/>
      </c>
      <c r="D167">
        <f>IF(Crowdfunding!G167="failed",Crowdfunding!H167,0)</f>
        <v>0</v>
      </c>
    </row>
    <row r="168" spans="1:4" x14ac:dyDescent="0.25">
      <c r="A168" t="str">
        <f>IF(Crowdfunding!G168="successful","successful","")</f>
        <v>successful</v>
      </c>
      <c r="B168">
        <f>IF(Crowdfunding!G168="successful",Crowdfunding!H168,0)</f>
        <v>244</v>
      </c>
      <c r="C168" t="str">
        <f>IF(Crowdfunding!G168="failed","failed","")</f>
        <v/>
      </c>
      <c r="D168">
        <f>IF(Crowdfunding!G168="failed",Crowdfunding!H168,0)</f>
        <v>0</v>
      </c>
    </row>
    <row r="169" spans="1:4" x14ac:dyDescent="0.25">
      <c r="A169" t="str">
        <f>IF(Crowdfunding!G169="successful","successful","")</f>
        <v>successful</v>
      </c>
      <c r="B169">
        <f>IF(Crowdfunding!G169="successful",Crowdfunding!H169,0)</f>
        <v>146</v>
      </c>
      <c r="C169" t="str">
        <f>IF(Crowdfunding!G169="failed","failed","")</f>
        <v/>
      </c>
      <c r="D169">
        <f>IF(Crowdfunding!G169="failed",Crowdfunding!H169,0)</f>
        <v>0</v>
      </c>
    </row>
    <row r="170" spans="1:4" x14ac:dyDescent="0.25">
      <c r="A170" t="str">
        <f>IF(Crowdfunding!G170="successful","successful","")</f>
        <v/>
      </c>
      <c r="B170">
        <f>IF(Crowdfunding!G170="successful",Crowdfunding!H170,0)</f>
        <v>0</v>
      </c>
      <c r="C170" t="str">
        <f>IF(Crowdfunding!G170="failed","failed","")</f>
        <v>failed</v>
      </c>
      <c r="D170">
        <f>IF(Crowdfunding!G170="failed",Crowdfunding!H170,0)</f>
        <v>955</v>
      </c>
    </row>
    <row r="171" spans="1:4" x14ac:dyDescent="0.25">
      <c r="A171" t="str">
        <f>IF(Crowdfunding!G171="successful","successful","")</f>
        <v>successful</v>
      </c>
      <c r="B171">
        <f>IF(Crowdfunding!G171="successful",Crowdfunding!H171,0)</f>
        <v>1267</v>
      </c>
      <c r="C171" t="str">
        <f>IF(Crowdfunding!G171="failed","failed","")</f>
        <v/>
      </c>
      <c r="D171">
        <f>IF(Crowdfunding!G171="failed",Crowdfunding!H171,0)</f>
        <v>0</v>
      </c>
    </row>
    <row r="172" spans="1:4" x14ac:dyDescent="0.25">
      <c r="A172" t="str">
        <f>IF(Crowdfunding!G172="successful","successful","")</f>
        <v/>
      </c>
      <c r="B172">
        <f>IF(Crowdfunding!G172="successful",Crowdfunding!H172,0)</f>
        <v>0</v>
      </c>
      <c r="C172" t="str">
        <f>IF(Crowdfunding!G172="failed","failed","")</f>
        <v>failed</v>
      </c>
      <c r="D172">
        <f>IF(Crowdfunding!G172="failed",Crowdfunding!H172,0)</f>
        <v>67</v>
      </c>
    </row>
    <row r="173" spans="1:4" x14ac:dyDescent="0.25">
      <c r="A173" t="str">
        <f>IF(Crowdfunding!G173="successful","successful","")</f>
        <v/>
      </c>
      <c r="B173">
        <f>IF(Crowdfunding!G173="successful",Crowdfunding!H173,0)</f>
        <v>0</v>
      </c>
      <c r="C173" t="str">
        <f>IF(Crowdfunding!G173="failed","failed","")</f>
        <v>failed</v>
      </c>
      <c r="D173">
        <f>IF(Crowdfunding!G173="failed",Crowdfunding!H173,0)</f>
        <v>5</v>
      </c>
    </row>
    <row r="174" spans="1:4" x14ac:dyDescent="0.25">
      <c r="A174" t="str">
        <f>IF(Crowdfunding!G174="successful","successful","")</f>
        <v/>
      </c>
      <c r="B174">
        <f>IF(Crowdfunding!G174="successful",Crowdfunding!H174,0)</f>
        <v>0</v>
      </c>
      <c r="C174" t="str">
        <f>IF(Crowdfunding!G174="failed","failed","")</f>
        <v>failed</v>
      </c>
      <c r="D174">
        <f>IF(Crowdfunding!G174="failed",Crowdfunding!H174,0)</f>
        <v>26</v>
      </c>
    </row>
    <row r="175" spans="1:4" x14ac:dyDescent="0.25">
      <c r="A175" t="str">
        <f>IF(Crowdfunding!G175="successful","successful","")</f>
        <v>successful</v>
      </c>
      <c r="B175">
        <f>IF(Crowdfunding!G175="successful",Crowdfunding!H175,0)</f>
        <v>1561</v>
      </c>
      <c r="C175" t="str">
        <f>IF(Crowdfunding!G175="failed","failed","")</f>
        <v/>
      </c>
      <c r="D175">
        <f>IF(Crowdfunding!G175="failed",Crowdfunding!H175,0)</f>
        <v>0</v>
      </c>
    </row>
    <row r="176" spans="1:4" x14ac:dyDescent="0.25">
      <c r="A176" t="str">
        <f>IF(Crowdfunding!G176="successful","successful","")</f>
        <v>successful</v>
      </c>
      <c r="B176">
        <f>IF(Crowdfunding!G176="successful",Crowdfunding!H176,0)</f>
        <v>48</v>
      </c>
      <c r="C176" t="str">
        <f>IF(Crowdfunding!G176="failed","failed","")</f>
        <v/>
      </c>
      <c r="D176">
        <f>IF(Crowdfunding!G176="failed",Crowdfunding!H176,0)</f>
        <v>0</v>
      </c>
    </row>
    <row r="177" spans="1:4" x14ac:dyDescent="0.25">
      <c r="A177" t="str">
        <f>IF(Crowdfunding!G177="successful","successful","")</f>
        <v/>
      </c>
      <c r="B177">
        <f>IF(Crowdfunding!G177="successful",Crowdfunding!H177,0)</f>
        <v>0</v>
      </c>
      <c r="C177" t="str">
        <f>IF(Crowdfunding!G177="failed","failed","")</f>
        <v>failed</v>
      </c>
      <c r="D177">
        <f>IF(Crowdfunding!G177="failed",Crowdfunding!H177,0)</f>
        <v>1130</v>
      </c>
    </row>
    <row r="178" spans="1:4" x14ac:dyDescent="0.25">
      <c r="A178" t="str">
        <f>IF(Crowdfunding!G178="successful","successful","")</f>
        <v/>
      </c>
      <c r="B178">
        <f>IF(Crowdfunding!G178="successful",Crowdfunding!H178,0)</f>
        <v>0</v>
      </c>
      <c r="C178" t="str">
        <f>IF(Crowdfunding!G178="failed","failed","")</f>
        <v>failed</v>
      </c>
      <c r="D178">
        <f>IF(Crowdfunding!G178="failed",Crowdfunding!H178,0)</f>
        <v>782</v>
      </c>
    </row>
    <row r="179" spans="1:4" x14ac:dyDescent="0.25">
      <c r="A179" t="str">
        <f>IF(Crowdfunding!G179="successful","successful","")</f>
        <v>successful</v>
      </c>
      <c r="B179">
        <f>IF(Crowdfunding!G179="successful",Crowdfunding!H179,0)</f>
        <v>2739</v>
      </c>
      <c r="C179" t="str">
        <f>IF(Crowdfunding!G179="failed","failed","")</f>
        <v/>
      </c>
      <c r="D179">
        <f>IF(Crowdfunding!G179="failed",Crowdfunding!H179,0)</f>
        <v>0</v>
      </c>
    </row>
    <row r="180" spans="1:4" x14ac:dyDescent="0.25">
      <c r="A180" t="str">
        <f>IF(Crowdfunding!G180="successful","successful","")</f>
        <v/>
      </c>
      <c r="B180">
        <f>IF(Crowdfunding!G180="successful",Crowdfunding!H180,0)</f>
        <v>0</v>
      </c>
      <c r="C180" t="str">
        <f>IF(Crowdfunding!G180="failed","failed","")</f>
        <v>failed</v>
      </c>
      <c r="D180">
        <f>IF(Crowdfunding!G180="failed",Crowdfunding!H180,0)</f>
        <v>210</v>
      </c>
    </row>
    <row r="181" spans="1:4" x14ac:dyDescent="0.25">
      <c r="A181" t="str">
        <f>IF(Crowdfunding!G181="successful","successful","")</f>
        <v>successful</v>
      </c>
      <c r="B181">
        <f>IF(Crowdfunding!G181="successful",Crowdfunding!H181,0)</f>
        <v>3537</v>
      </c>
      <c r="C181" t="str">
        <f>IF(Crowdfunding!G181="failed","failed","")</f>
        <v/>
      </c>
      <c r="D181">
        <f>IF(Crowdfunding!G181="failed",Crowdfunding!H181,0)</f>
        <v>0</v>
      </c>
    </row>
    <row r="182" spans="1:4" x14ac:dyDescent="0.25">
      <c r="A182" t="str">
        <f>IF(Crowdfunding!G182="successful","successful","")</f>
        <v>successful</v>
      </c>
      <c r="B182">
        <f>IF(Crowdfunding!G182="successful",Crowdfunding!H182,0)</f>
        <v>2107</v>
      </c>
      <c r="C182" t="str">
        <f>IF(Crowdfunding!G182="failed","failed","")</f>
        <v/>
      </c>
      <c r="D182">
        <f>IF(Crowdfunding!G182="failed",Crowdfunding!H182,0)</f>
        <v>0</v>
      </c>
    </row>
    <row r="183" spans="1:4" x14ac:dyDescent="0.25">
      <c r="A183" t="str">
        <f>IF(Crowdfunding!G183="successful","successful","")</f>
        <v/>
      </c>
      <c r="B183">
        <f>IF(Crowdfunding!G183="successful",Crowdfunding!H183,0)</f>
        <v>0</v>
      </c>
      <c r="C183" t="str">
        <f>IF(Crowdfunding!G183="failed","failed","")</f>
        <v>failed</v>
      </c>
      <c r="D183">
        <f>IF(Crowdfunding!G183="failed",Crowdfunding!H183,0)</f>
        <v>136</v>
      </c>
    </row>
    <row r="184" spans="1:4" x14ac:dyDescent="0.25">
      <c r="A184" t="str">
        <f>IF(Crowdfunding!G184="successful","successful","")</f>
        <v>successful</v>
      </c>
      <c r="B184">
        <f>IF(Crowdfunding!G184="successful",Crowdfunding!H184,0)</f>
        <v>3318</v>
      </c>
      <c r="C184" t="str">
        <f>IF(Crowdfunding!G184="failed","failed","")</f>
        <v/>
      </c>
      <c r="D184">
        <f>IF(Crowdfunding!G184="failed",Crowdfunding!H184,0)</f>
        <v>0</v>
      </c>
    </row>
    <row r="185" spans="1:4" x14ac:dyDescent="0.25">
      <c r="A185" t="str">
        <f>IF(Crowdfunding!G185="successful","successful","")</f>
        <v/>
      </c>
      <c r="B185">
        <f>IF(Crowdfunding!G185="successful",Crowdfunding!H185,0)</f>
        <v>0</v>
      </c>
      <c r="C185" t="str">
        <f>IF(Crowdfunding!G185="failed","failed","")</f>
        <v>failed</v>
      </c>
      <c r="D185">
        <f>IF(Crowdfunding!G185="failed",Crowdfunding!H185,0)</f>
        <v>86</v>
      </c>
    </row>
    <row r="186" spans="1:4" x14ac:dyDescent="0.25">
      <c r="A186" t="str">
        <f>IF(Crowdfunding!G186="successful","successful","")</f>
        <v>successful</v>
      </c>
      <c r="B186">
        <f>IF(Crowdfunding!G186="successful",Crowdfunding!H186,0)</f>
        <v>340</v>
      </c>
      <c r="C186" t="str">
        <f>IF(Crowdfunding!G186="failed","failed","")</f>
        <v/>
      </c>
      <c r="D186">
        <f>IF(Crowdfunding!G186="failed",Crowdfunding!H186,0)</f>
        <v>0</v>
      </c>
    </row>
    <row r="187" spans="1:4" x14ac:dyDescent="0.25">
      <c r="A187" t="str">
        <f>IF(Crowdfunding!G187="successful","successful","")</f>
        <v/>
      </c>
      <c r="B187">
        <f>IF(Crowdfunding!G187="successful",Crowdfunding!H187,0)</f>
        <v>0</v>
      </c>
      <c r="C187" t="str">
        <f>IF(Crowdfunding!G187="failed","failed","")</f>
        <v>failed</v>
      </c>
      <c r="D187">
        <f>IF(Crowdfunding!G187="failed",Crowdfunding!H187,0)</f>
        <v>19</v>
      </c>
    </row>
    <row r="188" spans="1:4" x14ac:dyDescent="0.25">
      <c r="A188" t="str">
        <f>IF(Crowdfunding!G188="successful","successful","")</f>
        <v/>
      </c>
      <c r="B188">
        <f>IF(Crowdfunding!G188="successful",Crowdfunding!H188,0)</f>
        <v>0</v>
      </c>
      <c r="C188" t="str">
        <f>IF(Crowdfunding!G188="failed","failed","")</f>
        <v>failed</v>
      </c>
      <c r="D188">
        <f>IF(Crowdfunding!G188="failed",Crowdfunding!H188,0)</f>
        <v>886</v>
      </c>
    </row>
    <row r="189" spans="1:4" x14ac:dyDescent="0.25">
      <c r="A189" t="str">
        <f>IF(Crowdfunding!G189="successful","successful","")</f>
        <v>successful</v>
      </c>
      <c r="B189">
        <f>IF(Crowdfunding!G189="successful",Crowdfunding!H189,0)</f>
        <v>1442</v>
      </c>
      <c r="C189" t="str">
        <f>IF(Crowdfunding!G189="failed","failed","")</f>
        <v/>
      </c>
      <c r="D189">
        <f>IF(Crowdfunding!G189="failed",Crowdfunding!H189,0)</f>
        <v>0</v>
      </c>
    </row>
    <row r="190" spans="1:4" x14ac:dyDescent="0.25">
      <c r="A190" t="str">
        <f>IF(Crowdfunding!G190="successful","successful","")</f>
        <v/>
      </c>
      <c r="B190">
        <f>IF(Crowdfunding!G190="successful",Crowdfunding!H190,0)</f>
        <v>0</v>
      </c>
      <c r="C190" t="str">
        <f>IF(Crowdfunding!G190="failed","failed","")</f>
        <v>failed</v>
      </c>
      <c r="D190">
        <f>IF(Crowdfunding!G190="failed",Crowdfunding!H190,0)</f>
        <v>35</v>
      </c>
    </row>
    <row r="191" spans="1:4" x14ac:dyDescent="0.25">
      <c r="A191" t="str">
        <f>IF(Crowdfunding!G191="successful","successful","")</f>
        <v/>
      </c>
      <c r="B191">
        <f>IF(Crowdfunding!G191="successful",Crowdfunding!H191,0)</f>
        <v>0</v>
      </c>
      <c r="C191" t="str">
        <f>IF(Crowdfunding!G191="failed","failed","")</f>
        <v/>
      </c>
      <c r="D191">
        <f>IF(Crowdfunding!G191="failed",Crowdfunding!H191,0)</f>
        <v>0</v>
      </c>
    </row>
    <row r="192" spans="1:4" x14ac:dyDescent="0.25">
      <c r="A192" t="str">
        <f>IF(Crowdfunding!G192="successful","successful","")</f>
        <v/>
      </c>
      <c r="B192">
        <f>IF(Crowdfunding!G192="successful",Crowdfunding!H192,0)</f>
        <v>0</v>
      </c>
      <c r="C192" t="str">
        <f>IF(Crowdfunding!G192="failed","failed","")</f>
        <v>failed</v>
      </c>
      <c r="D192">
        <f>IF(Crowdfunding!G192="failed",Crowdfunding!H192,0)</f>
        <v>24</v>
      </c>
    </row>
    <row r="193" spans="1:4" x14ac:dyDescent="0.25">
      <c r="A193" t="str">
        <f>IF(Crowdfunding!G193="successful","successful","")</f>
        <v/>
      </c>
      <c r="B193">
        <f>IF(Crowdfunding!G193="successful",Crowdfunding!H193,0)</f>
        <v>0</v>
      </c>
      <c r="C193" t="str">
        <f>IF(Crowdfunding!G193="failed","failed","")</f>
        <v>failed</v>
      </c>
      <c r="D193">
        <f>IF(Crowdfunding!G193="failed",Crowdfunding!H193,0)</f>
        <v>86</v>
      </c>
    </row>
    <row r="194" spans="1:4" x14ac:dyDescent="0.25">
      <c r="A194" t="str">
        <f>IF(Crowdfunding!G194="successful","successful","")</f>
        <v/>
      </c>
      <c r="B194">
        <f>IF(Crowdfunding!G194="successful",Crowdfunding!H194,0)</f>
        <v>0</v>
      </c>
      <c r="C194" t="str">
        <f>IF(Crowdfunding!G194="failed","failed","")</f>
        <v>failed</v>
      </c>
      <c r="D194">
        <f>IF(Crowdfunding!G194="failed",Crowdfunding!H194,0)</f>
        <v>243</v>
      </c>
    </row>
    <row r="195" spans="1:4" x14ac:dyDescent="0.25">
      <c r="A195" t="str">
        <f>IF(Crowdfunding!G195="successful","successful","")</f>
        <v/>
      </c>
      <c r="B195">
        <f>IF(Crowdfunding!G195="successful",Crowdfunding!H195,0)</f>
        <v>0</v>
      </c>
      <c r="C195" t="str">
        <f>IF(Crowdfunding!G195="failed","failed","")</f>
        <v>failed</v>
      </c>
      <c r="D195">
        <f>IF(Crowdfunding!G195="failed",Crowdfunding!H195,0)</f>
        <v>65</v>
      </c>
    </row>
    <row r="196" spans="1:4" x14ac:dyDescent="0.25">
      <c r="A196" t="str">
        <f>IF(Crowdfunding!G196="successful","successful","")</f>
        <v>successful</v>
      </c>
      <c r="B196">
        <f>IF(Crowdfunding!G196="successful",Crowdfunding!H196,0)</f>
        <v>126</v>
      </c>
      <c r="C196" t="str">
        <f>IF(Crowdfunding!G196="failed","failed","")</f>
        <v/>
      </c>
      <c r="D196">
        <f>IF(Crowdfunding!G196="failed",Crowdfunding!H196,0)</f>
        <v>0</v>
      </c>
    </row>
    <row r="197" spans="1:4" x14ac:dyDescent="0.25">
      <c r="A197" t="str">
        <f>IF(Crowdfunding!G197="successful","successful","")</f>
        <v>successful</v>
      </c>
      <c r="B197">
        <f>IF(Crowdfunding!G197="successful",Crowdfunding!H197,0)</f>
        <v>524</v>
      </c>
      <c r="C197" t="str">
        <f>IF(Crowdfunding!G197="failed","failed","")</f>
        <v/>
      </c>
      <c r="D197">
        <f>IF(Crowdfunding!G197="failed",Crowdfunding!H197,0)</f>
        <v>0</v>
      </c>
    </row>
    <row r="198" spans="1:4" x14ac:dyDescent="0.25">
      <c r="A198" t="str">
        <f>IF(Crowdfunding!G198="successful","successful","")</f>
        <v/>
      </c>
      <c r="B198">
        <f>IF(Crowdfunding!G198="successful",Crowdfunding!H198,0)</f>
        <v>0</v>
      </c>
      <c r="C198" t="str">
        <f>IF(Crowdfunding!G198="failed","failed","")</f>
        <v>failed</v>
      </c>
      <c r="D198">
        <f>IF(Crowdfunding!G198="failed",Crowdfunding!H198,0)</f>
        <v>100</v>
      </c>
    </row>
    <row r="199" spans="1:4" x14ac:dyDescent="0.25">
      <c r="A199" t="str">
        <f>IF(Crowdfunding!G199="successful","successful","")</f>
        <v>successful</v>
      </c>
      <c r="B199">
        <f>IF(Crowdfunding!G199="successful",Crowdfunding!H199,0)</f>
        <v>1989</v>
      </c>
      <c r="C199" t="str">
        <f>IF(Crowdfunding!G199="failed","failed","")</f>
        <v/>
      </c>
      <c r="D199">
        <f>IF(Crowdfunding!G199="failed",Crowdfunding!H199,0)</f>
        <v>0</v>
      </c>
    </row>
    <row r="200" spans="1:4" x14ac:dyDescent="0.25">
      <c r="A200" t="str">
        <f>IF(Crowdfunding!G200="successful","successful","")</f>
        <v/>
      </c>
      <c r="B200">
        <f>IF(Crowdfunding!G200="successful",Crowdfunding!H200,0)</f>
        <v>0</v>
      </c>
      <c r="C200" t="str">
        <f>IF(Crowdfunding!G200="failed","failed","")</f>
        <v>failed</v>
      </c>
      <c r="D200">
        <f>IF(Crowdfunding!G200="failed",Crowdfunding!H200,0)</f>
        <v>168</v>
      </c>
    </row>
    <row r="201" spans="1:4" x14ac:dyDescent="0.25">
      <c r="A201" t="str">
        <f>IF(Crowdfunding!G201="successful","successful","")</f>
        <v/>
      </c>
      <c r="B201">
        <f>IF(Crowdfunding!G201="successful",Crowdfunding!H201,0)</f>
        <v>0</v>
      </c>
      <c r="C201" t="str">
        <f>IF(Crowdfunding!G201="failed","failed","")</f>
        <v>failed</v>
      </c>
      <c r="D201">
        <f>IF(Crowdfunding!G201="failed",Crowdfunding!H201,0)</f>
        <v>13</v>
      </c>
    </row>
    <row r="202" spans="1:4" x14ac:dyDescent="0.25">
      <c r="A202" t="str">
        <f>IF(Crowdfunding!G202="successful","successful","")</f>
        <v/>
      </c>
      <c r="B202">
        <f>IF(Crowdfunding!G202="successful",Crowdfunding!H202,0)</f>
        <v>0</v>
      </c>
      <c r="C202" t="str">
        <f>IF(Crowdfunding!G202="failed","failed","")</f>
        <v>failed</v>
      </c>
      <c r="D202">
        <f>IF(Crowdfunding!G202="failed",Crowdfunding!H202,0)</f>
        <v>1</v>
      </c>
    </row>
    <row r="203" spans="1:4" x14ac:dyDescent="0.25">
      <c r="A203" t="str">
        <f>IF(Crowdfunding!G203="successful","successful","")</f>
        <v>successful</v>
      </c>
      <c r="B203">
        <f>IF(Crowdfunding!G203="successful",Crowdfunding!H203,0)</f>
        <v>157</v>
      </c>
      <c r="C203" t="str">
        <f>IF(Crowdfunding!G203="failed","failed","")</f>
        <v/>
      </c>
      <c r="D203">
        <f>IF(Crowdfunding!G203="failed",Crowdfunding!H203,0)</f>
        <v>0</v>
      </c>
    </row>
    <row r="204" spans="1:4" x14ac:dyDescent="0.25">
      <c r="A204" t="str">
        <f>IF(Crowdfunding!G204="successful","successful","")</f>
        <v/>
      </c>
      <c r="B204">
        <f>IF(Crowdfunding!G204="successful",Crowdfunding!H204,0)</f>
        <v>0</v>
      </c>
      <c r="C204" t="str">
        <f>IF(Crowdfunding!G204="failed","failed","")</f>
        <v/>
      </c>
      <c r="D204">
        <f>IF(Crowdfunding!G204="failed",Crowdfunding!H204,0)</f>
        <v>0</v>
      </c>
    </row>
    <row r="205" spans="1:4" x14ac:dyDescent="0.25">
      <c r="A205" t="str">
        <f>IF(Crowdfunding!G205="successful","successful","")</f>
        <v>successful</v>
      </c>
      <c r="B205">
        <f>IF(Crowdfunding!G205="successful",Crowdfunding!H205,0)</f>
        <v>4498</v>
      </c>
      <c r="C205" t="str">
        <f>IF(Crowdfunding!G205="failed","failed","")</f>
        <v/>
      </c>
      <c r="D205">
        <f>IF(Crowdfunding!G205="failed",Crowdfunding!H205,0)</f>
        <v>0</v>
      </c>
    </row>
    <row r="206" spans="1:4" x14ac:dyDescent="0.25">
      <c r="A206" t="str">
        <f>IF(Crowdfunding!G206="successful","successful","")</f>
        <v/>
      </c>
      <c r="B206">
        <f>IF(Crowdfunding!G206="successful",Crowdfunding!H206,0)</f>
        <v>0</v>
      </c>
      <c r="C206" t="str">
        <f>IF(Crowdfunding!G206="failed","failed","")</f>
        <v>failed</v>
      </c>
      <c r="D206">
        <f>IF(Crowdfunding!G206="failed",Crowdfunding!H206,0)</f>
        <v>40</v>
      </c>
    </row>
    <row r="207" spans="1:4" x14ac:dyDescent="0.25">
      <c r="A207" t="str">
        <f>IF(Crowdfunding!G207="successful","successful","")</f>
        <v>successful</v>
      </c>
      <c r="B207">
        <f>IF(Crowdfunding!G207="successful",Crowdfunding!H207,0)</f>
        <v>80</v>
      </c>
      <c r="C207" t="str">
        <f>IF(Crowdfunding!G207="failed","failed","")</f>
        <v/>
      </c>
      <c r="D207">
        <f>IF(Crowdfunding!G207="failed",Crowdfunding!H207,0)</f>
        <v>0</v>
      </c>
    </row>
    <row r="208" spans="1:4" x14ac:dyDescent="0.25">
      <c r="A208" t="str">
        <f>IF(Crowdfunding!G208="successful","successful","")</f>
        <v/>
      </c>
      <c r="B208">
        <f>IF(Crowdfunding!G208="successful",Crowdfunding!H208,0)</f>
        <v>0</v>
      </c>
      <c r="C208" t="str">
        <f>IF(Crowdfunding!G208="failed","failed","")</f>
        <v/>
      </c>
      <c r="D208">
        <f>IF(Crowdfunding!G208="failed",Crowdfunding!H208,0)</f>
        <v>0</v>
      </c>
    </row>
    <row r="209" spans="1:4" x14ac:dyDescent="0.25">
      <c r="A209" t="str">
        <f>IF(Crowdfunding!G209="successful","successful","")</f>
        <v>successful</v>
      </c>
      <c r="B209">
        <f>IF(Crowdfunding!G209="successful",Crowdfunding!H209,0)</f>
        <v>43</v>
      </c>
      <c r="C209" t="str">
        <f>IF(Crowdfunding!G209="failed","failed","")</f>
        <v/>
      </c>
      <c r="D209">
        <f>IF(Crowdfunding!G209="failed",Crowdfunding!H209,0)</f>
        <v>0</v>
      </c>
    </row>
    <row r="210" spans="1:4" x14ac:dyDescent="0.25">
      <c r="A210" t="str">
        <f>IF(Crowdfunding!G210="successful","successful","")</f>
        <v>successful</v>
      </c>
      <c r="B210">
        <f>IF(Crowdfunding!G210="successful",Crowdfunding!H210,0)</f>
        <v>2053</v>
      </c>
      <c r="C210" t="str">
        <f>IF(Crowdfunding!G210="failed","failed","")</f>
        <v/>
      </c>
      <c r="D210">
        <f>IF(Crowdfunding!G210="failed",Crowdfunding!H210,0)</f>
        <v>0</v>
      </c>
    </row>
    <row r="211" spans="1:4" x14ac:dyDescent="0.25">
      <c r="A211" t="str">
        <f>IF(Crowdfunding!G211="successful","successful","")</f>
        <v/>
      </c>
      <c r="B211">
        <f>IF(Crowdfunding!G211="successful",Crowdfunding!H211,0)</f>
        <v>0</v>
      </c>
      <c r="C211" t="str">
        <f>IF(Crowdfunding!G211="failed","failed","")</f>
        <v/>
      </c>
      <c r="D211">
        <f>IF(Crowdfunding!G211="failed",Crowdfunding!H211,0)</f>
        <v>0</v>
      </c>
    </row>
    <row r="212" spans="1:4" x14ac:dyDescent="0.25">
      <c r="A212" t="str">
        <f>IF(Crowdfunding!G212="successful","successful","")</f>
        <v/>
      </c>
      <c r="B212">
        <f>IF(Crowdfunding!G212="successful",Crowdfunding!H212,0)</f>
        <v>0</v>
      </c>
      <c r="C212" t="str">
        <f>IF(Crowdfunding!G212="failed","failed","")</f>
        <v>failed</v>
      </c>
      <c r="D212">
        <f>IF(Crowdfunding!G212="failed",Crowdfunding!H212,0)</f>
        <v>226</v>
      </c>
    </row>
    <row r="213" spans="1:4" x14ac:dyDescent="0.25">
      <c r="A213" t="str">
        <f>IF(Crowdfunding!G213="successful","successful","")</f>
        <v/>
      </c>
      <c r="B213">
        <f>IF(Crowdfunding!G213="successful",Crowdfunding!H213,0)</f>
        <v>0</v>
      </c>
      <c r="C213" t="str">
        <f>IF(Crowdfunding!G213="failed","failed","")</f>
        <v>failed</v>
      </c>
      <c r="D213">
        <f>IF(Crowdfunding!G213="failed",Crowdfunding!H213,0)</f>
        <v>1625</v>
      </c>
    </row>
    <row r="214" spans="1:4" x14ac:dyDescent="0.25">
      <c r="A214" t="str">
        <f>IF(Crowdfunding!G214="successful","successful","")</f>
        <v>successful</v>
      </c>
      <c r="B214">
        <f>IF(Crowdfunding!G214="successful",Crowdfunding!H214,0)</f>
        <v>168</v>
      </c>
      <c r="C214" t="str">
        <f>IF(Crowdfunding!G214="failed","failed","")</f>
        <v/>
      </c>
      <c r="D214">
        <f>IF(Crowdfunding!G214="failed",Crowdfunding!H214,0)</f>
        <v>0</v>
      </c>
    </row>
    <row r="215" spans="1:4" x14ac:dyDescent="0.25">
      <c r="A215" t="str">
        <f>IF(Crowdfunding!G215="successful","successful","")</f>
        <v>successful</v>
      </c>
      <c r="B215">
        <f>IF(Crowdfunding!G215="successful",Crowdfunding!H215,0)</f>
        <v>4289</v>
      </c>
      <c r="C215" t="str">
        <f>IF(Crowdfunding!G215="failed","failed","")</f>
        <v/>
      </c>
      <c r="D215">
        <f>IF(Crowdfunding!G215="failed",Crowdfunding!H215,0)</f>
        <v>0</v>
      </c>
    </row>
    <row r="216" spans="1:4" x14ac:dyDescent="0.25">
      <c r="A216" t="str">
        <f>IF(Crowdfunding!G216="successful","successful","")</f>
        <v>successful</v>
      </c>
      <c r="B216">
        <f>IF(Crowdfunding!G216="successful",Crowdfunding!H216,0)</f>
        <v>165</v>
      </c>
      <c r="C216" t="str">
        <f>IF(Crowdfunding!G216="failed","failed","")</f>
        <v/>
      </c>
      <c r="D216">
        <f>IF(Crowdfunding!G216="failed",Crowdfunding!H216,0)</f>
        <v>0</v>
      </c>
    </row>
    <row r="217" spans="1:4" x14ac:dyDescent="0.25">
      <c r="A217" t="str">
        <f>IF(Crowdfunding!G217="successful","successful","")</f>
        <v/>
      </c>
      <c r="B217">
        <f>IF(Crowdfunding!G217="successful",Crowdfunding!H217,0)</f>
        <v>0</v>
      </c>
      <c r="C217" t="str">
        <f>IF(Crowdfunding!G217="failed","failed","")</f>
        <v>failed</v>
      </c>
      <c r="D217">
        <f>IF(Crowdfunding!G217="failed",Crowdfunding!H217,0)</f>
        <v>143</v>
      </c>
    </row>
    <row r="218" spans="1:4" x14ac:dyDescent="0.25">
      <c r="A218" t="str">
        <f>IF(Crowdfunding!G218="successful","successful","")</f>
        <v>successful</v>
      </c>
      <c r="B218">
        <f>IF(Crowdfunding!G218="successful",Crowdfunding!H218,0)</f>
        <v>1815</v>
      </c>
      <c r="C218" t="str">
        <f>IF(Crowdfunding!G218="failed","failed","")</f>
        <v/>
      </c>
      <c r="D218">
        <f>IF(Crowdfunding!G218="failed",Crowdfunding!H218,0)</f>
        <v>0</v>
      </c>
    </row>
    <row r="219" spans="1:4" x14ac:dyDescent="0.25">
      <c r="A219" t="str">
        <f>IF(Crowdfunding!G219="successful","successful","")</f>
        <v/>
      </c>
      <c r="B219">
        <f>IF(Crowdfunding!G219="successful",Crowdfunding!H219,0)</f>
        <v>0</v>
      </c>
      <c r="C219" t="str">
        <f>IF(Crowdfunding!G219="failed","failed","")</f>
        <v>failed</v>
      </c>
      <c r="D219">
        <f>IF(Crowdfunding!G219="failed",Crowdfunding!H219,0)</f>
        <v>934</v>
      </c>
    </row>
    <row r="220" spans="1:4" x14ac:dyDescent="0.25">
      <c r="A220" t="str">
        <f>IF(Crowdfunding!G220="successful","successful","")</f>
        <v>successful</v>
      </c>
      <c r="B220">
        <f>IF(Crowdfunding!G220="successful",Crowdfunding!H220,0)</f>
        <v>397</v>
      </c>
      <c r="C220" t="str">
        <f>IF(Crowdfunding!G220="failed","failed","")</f>
        <v/>
      </c>
      <c r="D220">
        <f>IF(Crowdfunding!G220="failed",Crowdfunding!H220,0)</f>
        <v>0</v>
      </c>
    </row>
    <row r="221" spans="1:4" x14ac:dyDescent="0.25">
      <c r="A221" t="str">
        <f>IF(Crowdfunding!G221="successful","successful","")</f>
        <v>successful</v>
      </c>
      <c r="B221">
        <f>IF(Crowdfunding!G221="successful",Crowdfunding!H221,0)</f>
        <v>1539</v>
      </c>
      <c r="C221" t="str">
        <f>IF(Crowdfunding!G221="failed","failed","")</f>
        <v/>
      </c>
      <c r="D221">
        <f>IF(Crowdfunding!G221="failed",Crowdfunding!H221,0)</f>
        <v>0</v>
      </c>
    </row>
    <row r="222" spans="1:4" x14ac:dyDescent="0.25">
      <c r="A222" t="str">
        <f>IF(Crowdfunding!G222="successful","successful","")</f>
        <v/>
      </c>
      <c r="B222">
        <f>IF(Crowdfunding!G222="successful",Crowdfunding!H222,0)</f>
        <v>0</v>
      </c>
      <c r="C222" t="str">
        <f>IF(Crowdfunding!G222="failed","failed","")</f>
        <v>failed</v>
      </c>
      <c r="D222">
        <f>IF(Crowdfunding!G222="failed",Crowdfunding!H222,0)</f>
        <v>17</v>
      </c>
    </row>
    <row r="223" spans="1:4" x14ac:dyDescent="0.25">
      <c r="A223" t="str">
        <f>IF(Crowdfunding!G223="successful","successful","")</f>
        <v/>
      </c>
      <c r="B223">
        <f>IF(Crowdfunding!G223="successful",Crowdfunding!H223,0)</f>
        <v>0</v>
      </c>
      <c r="C223" t="str">
        <f>IF(Crowdfunding!G223="failed","failed","")</f>
        <v>failed</v>
      </c>
      <c r="D223">
        <f>IF(Crowdfunding!G223="failed",Crowdfunding!H223,0)</f>
        <v>2179</v>
      </c>
    </row>
    <row r="224" spans="1:4" x14ac:dyDescent="0.25">
      <c r="A224" t="str">
        <f>IF(Crowdfunding!G224="successful","successful","")</f>
        <v>successful</v>
      </c>
      <c r="B224">
        <f>IF(Crowdfunding!G224="successful",Crowdfunding!H224,0)</f>
        <v>138</v>
      </c>
      <c r="C224" t="str">
        <f>IF(Crowdfunding!G224="failed","failed","")</f>
        <v/>
      </c>
      <c r="D224">
        <f>IF(Crowdfunding!G224="failed",Crowdfunding!H224,0)</f>
        <v>0</v>
      </c>
    </row>
    <row r="225" spans="1:4" x14ac:dyDescent="0.25">
      <c r="A225" t="str">
        <f>IF(Crowdfunding!G225="successful","successful","")</f>
        <v/>
      </c>
      <c r="B225">
        <f>IF(Crowdfunding!G225="successful",Crowdfunding!H225,0)</f>
        <v>0</v>
      </c>
      <c r="C225" t="str">
        <f>IF(Crowdfunding!G225="failed","failed","")</f>
        <v>failed</v>
      </c>
      <c r="D225">
        <f>IF(Crowdfunding!G225="failed",Crowdfunding!H225,0)</f>
        <v>931</v>
      </c>
    </row>
    <row r="226" spans="1:4" x14ac:dyDescent="0.25">
      <c r="A226" t="str">
        <f>IF(Crowdfunding!G226="successful","successful","")</f>
        <v>successful</v>
      </c>
      <c r="B226">
        <f>IF(Crowdfunding!G226="successful",Crowdfunding!H226,0)</f>
        <v>3594</v>
      </c>
      <c r="C226" t="str">
        <f>IF(Crowdfunding!G226="failed","failed","")</f>
        <v/>
      </c>
      <c r="D226">
        <f>IF(Crowdfunding!G226="failed",Crowdfunding!H226,0)</f>
        <v>0</v>
      </c>
    </row>
    <row r="227" spans="1:4" x14ac:dyDescent="0.25">
      <c r="A227" t="str">
        <f>IF(Crowdfunding!G227="successful","successful","")</f>
        <v>successful</v>
      </c>
      <c r="B227">
        <f>IF(Crowdfunding!G227="successful",Crowdfunding!H227,0)</f>
        <v>5880</v>
      </c>
      <c r="C227" t="str">
        <f>IF(Crowdfunding!G227="failed","failed","")</f>
        <v/>
      </c>
      <c r="D227">
        <f>IF(Crowdfunding!G227="failed",Crowdfunding!H227,0)</f>
        <v>0</v>
      </c>
    </row>
    <row r="228" spans="1:4" x14ac:dyDescent="0.25">
      <c r="A228" t="str">
        <f>IF(Crowdfunding!G228="successful","successful","")</f>
        <v>successful</v>
      </c>
      <c r="B228">
        <f>IF(Crowdfunding!G228="successful",Crowdfunding!H228,0)</f>
        <v>112</v>
      </c>
      <c r="C228" t="str">
        <f>IF(Crowdfunding!G228="failed","failed","")</f>
        <v/>
      </c>
      <c r="D228">
        <f>IF(Crowdfunding!G228="failed",Crowdfunding!H228,0)</f>
        <v>0</v>
      </c>
    </row>
    <row r="229" spans="1:4" x14ac:dyDescent="0.25">
      <c r="A229" t="str">
        <f>IF(Crowdfunding!G229="successful","successful","")</f>
        <v>successful</v>
      </c>
      <c r="B229">
        <f>IF(Crowdfunding!G229="successful",Crowdfunding!H229,0)</f>
        <v>943</v>
      </c>
      <c r="C229" t="str">
        <f>IF(Crowdfunding!G229="failed","failed","")</f>
        <v/>
      </c>
      <c r="D229">
        <f>IF(Crowdfunding!G229="failed",Crowdfunding!H229,0)</f>
        <v>0</v>
      </c>
    </row>
    <row r="230" spans="1:4" x14ac:dyDescent="0.25">
      <c r="A230" t="str">
        <f>IF(Crowdfunding!G230="successful","successful","")</f>
        <v>successful</v>
      </c>
      <c r="B230">
        <f>IF(Crowdfunding!G230="successful",Crowdfunding!H230,0)</f>
        <v>2468</v>
      </c>
      <c r="C230" t="str">
        <f>IF(Crowdfunding!G230="failed","failed","")</f>
        <v/>
      </c>
      <c r="D230">
        <f>IF(Crowdfunding!G230="failed",Crowdfunding!H230,0)</f>
        <v>0</v>
      </c>
    </row>
    <row r="231" spans="1:4" x14ac:dyDescent="0.25">
      <c r="A231" t="str">
        <f>IF(Crowdfunding!G231="successful","successful","")</f>
        <v>successful</v>
      </c>
      <c r="B231">
        <f>IF(Crowdfunding!G231="successful",Crowdfunding!H231,0)</f>
        <v>2551</v>
      </c>
      <c r="C231" t="str">
        <f>IF(Crowdfunding!G231="failed","failed","")</f>
        <v/>
      </c>
      <c r="D231">
        <f>IF(Crowdfunding!G231="failed",Crowdfunding!H231,0)</f>
        <v>0</v>
      </c>
    </row>
    <row r="232" spans="1:4" x14ac:dyDescent="0.25">
      <c r="A232" t="str">
        <f>IF(Crowdfunding!G232="successful","successful","")</f>
        <v>successful</v>
      </c>
      <c r="B232">
        <f>IF(Crowdfunding!G232="successful",Crowdfunding!H232,0)</f>
        <v>101</v>
      </c>
      <c r="C232" t="str">
        <f>IF(Crowdfunding!G232="failed","failed","")</f>
        <v/>
      </c>
      <c r="D232">
        <f>IF(Crowdfunding!G232="failed",Crowdfunding!H232,0)</f>
        <v>0</v>
      </c>
    </row>
    <row r="233" spans="1:4" x14ac:dyDescent="0.25">
      <c r="A233" t="str">
        <f>IF(Crowdfunding!G233="successful","successful","")</f>
        <v/>
      </c>
      <c r="B233">
        <f>IF(Crowdfunding!G233="successful",Crowdfunding!H233,0)</f>
        <v>0</v>
      </c>
      <c r="C233" t="str">
        <f>IF(Crowdfunding!G233="failed","failed","")</f>
        <v/>
      </c>
      <c r="D233">
        <f>IF(Crowdfunding!G233="failed",Crowdfunding!H233,0)</f>
        <v>0</v>
      </c>
    </row>
    <row r="234" spans="1:4" x14ac:dyDescent="0.25">
      <c r="A234" t="str">
        <f>IF(Crowdfunding!G234="successful","successful","")</f>
        <v>successful</v>
      </c>
      <c r="B234">
        <f>IF(Crowdfunding!G234="successful",Crowdfunding!H234,0)</f>
        <v>92</v>
      </c>
      <c r="C234" t="str">
        <f>IF(Crowdfunding!G234="failed","failed","")</f>
        <v/>
      </c>
      <c r="D234">
        <f>IF(Crowdfunding!G234="failed",Crowdfunding!H234,0)</f>
        <v>0</v>
      </c>
    </row>
    <row r="235" spans="1:4" x14ac:dyDescent="0.25">
      <c r="A235" t="str">
        <f>IF(Crowdfunding!G235="successful","successful","")</f>
        <v>successful</v>
      </c>
      <c r="B235">
        <f>IF(Crowdfunding!G235="successful",Crowdfunding!H235,0)</f>
        <v>62</v>
      </c>
      <c r="C235" t="str">
        <f>IF(Crowdfunding!G235="failed","failed","")</f>
        <v/>
      </c>
      <c r="D235">
        <f>IF(Crowdfunding!G235="failed",Crowdfunding!H235,0)</f>
        <v>0</v>
      </c>
    </row>
    <row r="236" spans="1:4" x14ac:dyDescent="0.25">
      <c r="A236" t="str">
        <f>IF(Crowdfunding!G236="successful","successful","")</f>
        <v>successful</v>
      </c>
      <c r="B236">
        <f>IF(Crowdfunding!G236="successful",Crowdfunding!H236,0)</f>
        <v>149</v>
      </c>
      <c r="C236" t="str">
        <f>IF(Crowdfunding!G236="failed","failed","")</f>
        <v/>
      </c>
      <c r="D236">
        <f>IF(Crowdfunding!G236="failed",Crowdfunding!H236,0)</f>
        <v>0</v>
      </c>
    </row>
    <row r="237" spans="1:4" x14ac:dyDescent="0.25">
      <c r="A237" t="str">
        <f>IF(Crowdfunding!G237="successful","successful","")</f>
        <v/>
      </c>
      <c r="B237">
        <f>IF(Crowdfunding!G237="successful",Crowdfunding!H237,0)</f>
        <v>0</v>
      </c>
      <c r="C237" t="str">
        <f>IF(Crowdfunding!G237="failed","failed","")</f>
        <v>failed</v>
      </c>
      <c r="D237">
        <f>IF(Crowdfunding!G237="failed",Crowdfunding!H237,0)</f>
        <v>92</v>
      </c>
    </row>
    <row r="238" spans="1:4" x14ac:dyDescent="0.25">
      <c r="A238" t="str">
        <f>IF(Crowdfunding!G238="successful","successful","")</f>
        <v/>
      </c>
      <c r="B238">
        <f>IF(Crowdfunding!G238="successful",Crowdfunding!H238,0)</f>
        <v>0</v>
      </c>
      <c r="C238" t="str">
        <f>IF(Crowdfunding!G238="failed","failed","")</f>
        <v>failed</v>
      </c>
      <c r="D238">
        <f>IF(Crowdfunding!G238="failed",Crowdfunding!H238,0)</f>
        <v>57</v>
      </c>
    </row>
    <row r="239" spans="1:4" x14ac:dyDescent="0.25">
      <c r="A239" t="str">
        <f>IF(Crowdfunding!G239="successful","successful","")</f>
        <v>successful</v>
      </c>
      <c r="B239">
        <f>IF(Crowdfunding!G239="successful",Crowdfunding!H239,0)</f>
        <v>329</v>
      </c>
      <c r="C239" t="str">
        <f>IF(Crowdfunding!G239="failed","failed","")</f>
        <v/>
      </c>
      <c r="D239">
        <f>IF(Crowdfunding!G239="failed",Crowdfunding!H239,0)</f>
        <v>0</v>
      </c>
    </row>
    <row r="240" spans="1:4" x14ac:dyDescent="0.25">
      <c r="A240" t="str">
        <f>IF(Crowdfunding!G240="successful","successful","")</f>
        <v>successful</v>
      </c>
      <c r="B240">
        <f>IF(Crowdfunding!G240="successful",Crowdfunding!H240,0)</f>
        <v>97</v>
      </c>
      <c r="C240" t="str">
        <f>IF(Crowdfunding!G240="failed","failed","")</f>
        <v/>
      </c>
      <c r="D240">
        <f>IF(Crowdfunding!G240="failed",Crowdfunding!H240,0)</f>
        <v>0</v>
      </c>
    </row>
    <row r="241" spans="1:4" x14ac:dyDescent="0.25">
      <c r="A241" t="str">
        <f>IF(Crowdfunding!G241="successful","successful","")</f>
        <v/>
      </c>
      <c r="B241">
        <f>IF(Crowdfunding!G241="successful",Crowdfunding!H241,0)</f>
        <v>0</v>
      </c>
      <c r="C241" t="str">
        <f>IF(Crowdfunding!G241="failed","failed","")</f>
        <v>failed</v>
      </c>
      <c r="D241">
        <f>IF(Crowdfunding!G241="failed",Crowdfunding!H241,0)</f>
        <v>41</v>
      </c>
    </row>
    <row r="242" spans="1:4" x14ac:dyDescent="0.25">
      <c r="A242" t="str">
        <f>IF(Crowdfunding!G242="successful","successful","")</f>
        <v>successful</v>
      </c>
      <c r="B242">
        <f>IF(Crowdfunding!G242="successful",Crowdfunding!H242,0)</f>
        <v>1784</v>
      </c>
      <c r="C242" t="str">
        <f>IF(Crowdfunding!G242="failed","failed","")</f>
        <v/>
      </c>
      <c r="D242">
        <f>IF(Crowdfunding!G242="failed",Crowdfunding!H242,0)</f>
        <v>0</v>
      </c>
    </row>
    <row r="243" spans="1:4" x14ac:dyDescent="0.25">
      <c r="A243" t="str">
        <f>IF(Crowdfunding!G243="successful","successful","")</f>
        <v>successful</v>
      </c>
      <c r="B243">
        <f>IF(Crowdfunding!G243="successful",Crowdfunding!H243,0)</f>
        <v>1684</v>
      </c>
      <c r="C243" t="str">
        <f>IF(Crowdfunding!G243="failed","failed","")</f>
        <v/>
      </c>
      <c r="D243">
        <f>IF(Crowdfunding!G243="failed",Crowdfunding!H243,0)</f>
        <v>0</v>
      </c>
    </row>
    <row r="244" spans="1:4" x14ac:dyDescent="0.25">
      <c r="A244" t="str">
        <f>IF(Crowdfunding!G244="successful","successful","")</f>
        <v>successful</v>
      </c>
      <c r="B244">
        <f>IF(Crowdfunding!G244="successful",Crowdfunding!H244,0)</f>
        <v>250</v>
      </c>
      <c r="C244" t="str">
        <f>IF(Crowdfunding!G244="failed","failed","")</f>
        <v/>
      </c>
      <c r="D244">
        <f>IF(Crowdfunding!G244="failed",Crowdfunding!H244,0)</f>
        <v>0</v>
      </c>
    </row>
    <row r="245" spans="1:4" x14ac:dyDescent="0.25">
      <c r="A245" t="str">
        <f>IF(Crowdfunding!G245="successful","successful","")</f>
        <v>successful</v>
      </c>
      <c r="B245">
        <f>IF(Crowdfunding!G245="successful",Crowdfunding!H245,0)</f>
        <v>238</v>
      </c>
      <c r="C245" t="str">
        <f>IF(Crowdfunding!G245="failed","failed","")</f>
        <v/>
      </c>
      <c r="D245">
        <f>IF(Crowdfunding!G245="failed",Crowdfunding!H245,0)</f>
        <v>0</v>
      </c>
    </row>
    <row r="246" spans="1:4" x14ac:dyDescent="0.25">
      <c r="A246" t="str">
        <f>IF(Crowdfunding!G246="successful","successful","")</f>
        <v>successful</v>
      </c>
      <c r="B246">
        <f>IF(Crowdfunding!G246="successful",Crowdfunding!H246,0)</f>
        <v>53</v>
      </c>
      <c r="C246" t="str">
        <f>IF(Crowdfunding!G246="failed","failed","")</f>
        <v/>
      </c>
      <c r="D246">
        <f>IF(Crowdfunding!G246="failed",Crowdfunding!H246,0)</f>
        <v>0</v>
      </c>
    </row>
    <row r="247" spans="1:4" x14ac:dyDescent="0.25">
      <c r="A247" t="str">
        <f>IF(Crowdfunding!G247="successful","successful","")</f>
        <v>successful</v>
      </c>
      <c r="B247">
        <f>IF(Crowdfunding!G247="successful",Crowdfunding!H247,0)</f>
        <v>214</v>
      </c>
      <c r="C247" t="str">
        <f>IF(Crowdfunding!G247="failed","failed","")</f>
        <v/>
      </c>
      <c r="D247">
        <f>IF(Crowdfunding!G247="failed",Crowdfunding!H247,0)</f>
        <v>0</v>
      </c>
    </row>
    <row r="248" spans="1:4" x14ac:dyDescent="0.25">
      <c r="A248" t="str">
        <f>IF(Crowdfunding!G248="successful","successful","")</f>
        <v>successful</v>
      </c>
      <c r="B248">
        <f>IF(Crowdfunding!G248="successful",Crowdfunding!H248,0)</f>
        <v>222</v>
      </c>
      <c r="C248" t="str">
        <f>IF(Crowdfunding!G248="failed","failed","")</f>
        <v/>
      </c>
      <c r="D248">
        <f>IF(Crowdfunding!G248="failed",Crowdfunding!H248,0)</f>
        <v>0</v>
      </c>
    </row>
    <row r="249" spans="1:4" x14ac:dyDescent="0.25">
      <c r="A249" t="str">
        <f>IF(Crowdfunding!G249="successful","successful","")</f>
        <v>successful</v>
      </c>
      <c r="B249">
        <f>IF(Crowdfunding!G249="successful",Crowdfunding!H249,0)</f>
        <v>1884</v>
      </c>
      <c r="C249" t="str">
        <f>IF(Crowdfunding!G249="failed","failed","")</f>
        <v/>
      </c>
      <c r="D249">
        <f>IF(Crowdfunding!G249="failed",Crowdfunding!H249,0)</f>
        <v>0</v>
      </c>
    </row>
    <row r="250" spans="1:4" x14ac:dyDescent="0.25">
      <c r="A250" t="str">
        <f>IF(Crowdfunding!G250="successful","successful","")</f>
        <v>successful</v>
      </c>
      <c r="B250">
        <f>IF(Crowdfunding!G250="successful",Crowdfunding!H250,0)</f>
        <v>218</v>
      </c>
      <c r="C250" t="str">
        <f>IF(Crowdfunding!G250="failed","failed","")</f>
        <v/>
      </c>
      <c r="D250">
        <f>IF(Crowdfunding!G250="failed",Crowdfunding!H250,0)</f>
        <v>0</v>
      </c>
    </row>
    <row r="251" spans="1:4" x14ac:dyDescent="0.25">
      <c r="A251" t="str">
        <f>IF(Crowdfunding!G251="successful","successful","")</f>
        <v>successful</v>
      </c>
      <c r="B251">
        <f>IF(Crowdfunding!G251="successful",Crowdfunding!H251,0)</f>
        <v>6465</v>
      </c>
      <c r="C251" t="str">
        <f>IF(Crowdfunding!G251="failed","failed","")</f>
        <v/>
      </c>
      <c r="D251">
        <f>IF(Crowdfunding!G251="failed",Crowdfunding!H251,0)</f>
        <v>0</v>
      </c>
    </row>
    <row r="252" spans="1:4" x14ac:dyDescent="0.25">
      <c r="A252" t="str">
        <f>IF(Crowdfunding!G252="successful","successful","")</f>
        <v/>
      </c>
      <c r="B252">
        <f>IF(Crowdfunding!G252="successful",Crowdfunding!H252,0)</f>
        <v>0</v>
      </c>
      <c r="C252" t="str">
        <f>IF(Crowdfunding!G252="failed","failed","")</f>
        <v>failed</v>
      </c>
      <c r="D252">
        <f>IF(Crowdfunding!G252="failed",Crowdfunding!H252,0)</f>
        <v>1</v>
      </c>
    </row>
    <row r="253" spans="1:4" x14ac:dyDescent="0.25">
      <c r="A253" t="str">
        <f>IF(Crowdfunding!G253="successful","successful","")</f>
        <v/>
      </c>
      <c r="B253">
        <f>IF(Crowdfunding!G253="successful",Crowdfunding!H253,0)</f>
        <v>0</v>
      </c>
      <c r="C253" t="str">
        <f>IF(Crowdfunding!G253="failed","failed","")</f>
        <v>failed</v>
      </c>
      <c r="D253">
        <f>IF(Crowdfunding!G253="failed",Crowdfunding!H253,0)</f>
        <v>101</v>
      </c>
    </row>
    <row r="254" spans="1:4" x14ac:dyDescent="0.25">
      <c r="A254" t="str">
        <f>IF(Crowdfunding!G254="successful","successful","")</f>
        <v>successful</v>
      </c>
      <c r="B254">
        <f>IF(Crowdfunding!G254="successful",Crowdfunding!H254,0)</f>
        <v>59</v>
      </c>
      <c r="C254" t="str">
        <f>IF(Crowdfunding!G254="failed","failed","")</f>
        <v/>
      </c>
      <c r="D254">
        <f>IF(Crowdfunding!G254="failed",Crowdfunding!H254,0)</f>
        <v>0</v>
      </c>
    </row>
    <row r="255" spans="1:4" x14ac:dyDescent="0.25">
      <c r="A255" t="str">
        <f>IF(Crowdfunding!G255="successful","successful","")</f>
        <v/>
      </c>
      <c r="B255">
        <f>IF(Crowdfunding!G255="successful",Crowdfunding!H255,0)</f>
        <v>0</v>
      </c>
      <c r="C255" t="str">
        <f>IF(Crowdfunding!G255="failed","failed","")</f>
        <v>failed</v>
      </c>
      <c r="D255">
        <f>IF(Crowdfunding!G255="failed",Crowdfunding!H255,0)</f>
        <v>1335</v>
      </c>
    </row>
    <row r="256" spans="1:4" x14ac:dyDescent="0.25">
      <c r="A256" t="str">
        <f>IF(Crowdfunding!G256="successful","successful","")</f>
        <v>successful</v>
      </c>
      <c r="B256">
        <f>IF(Crowdfunding!G256="successful",Crowdfunding!H256,0)</f>
        <v>88</v>
      </c>
      <c r="C256" t="str">
        <f>IF(Crowdfunding!G256="failed","failed","")</f>
        <v/>
      </c>
      <c r="D256">
        <f>IF(Crowdfunding!G256="failed",Crowdfunding!H256,0)</f>
        <v>0</v>
      </c>
    </row>
    <row r="257" spans="1:4" x14ac:dyDescent="0.25">
      <c r="A257" t="str">
        <f>IF(Crowdfunding!G257="successful","successful","")</f>
        <v>successful</v>
      </c>
      <c r="B257">
        <f>IF(Crowdfunding!G257="successful",Crowdfunding!H257,0)</f>
        <v>1697</v>
      </c>
      <c r="C257" t="str">
        <f>IF(Crowdfunding!G257="failed","failed","")</f>
        <v/>
      </c>
      <c r="D257">
        <f>IF(Crowdfunding!G257="failed",Crowdfunding!H257,0)</f>
        <v>0</v>
      </c>
    </row>
    <row r="258" spans="1:4" x14ac:dyDescent="0.25">
      <c r="A258" t="str">
        <f>IF(Crowdfunding!G258="successful","successful","")</f>
        <v/>
      </c>
      <c r="B258">
        <f>IF(Crowdfunding!G258="successful",Crowdfunding!H258,0)</f>
        <v>0</v>
      </c>
      <c r="C258" t="str">
        <f>IF(Crowdfunding!G258="failed","failed","")</f>
        <v>failed</v>
      </c>
      <c r="D258">
        <f>IF(Crowdfunding!G258="failed",Crowdfunding!H258,0)</f>
        <v>15</v>
      </c>
    </row>
    <row r="259" spans="1:4" x14ac:dyDescent="0.25">
      <c r="A259" t="str">
        <f>IF(Crowdfunding!G259="successful","successful","")</f>
        <v>successful</v>
      </c>
      <c r="B259">
        <f>IF(Crowdfunding!G259="successful",Crowdfunding!H259,0)</f>
        <v>92</v>
      </c>
      <c r="C259" t="str">
        <f>IF(Crowdfunding!G259="failed","failed","")</f>
        <v/>
      </c>
      <c r="D259">
        <f>IF(Crowdfunding!G259="failed",Crowdfunding!H259,0)</f>
        <v>0</v>
      </c>
    </row>
    <row r="260" spans="1:4" x14ac:dyDescent="0.25">
      <c r="A260" t="str">
        <f>IF(Crowdfunding!G260="successful","successful","")</f>
        <v>successful</v>
      </c>
      <c r="B260">
        <f>IF(Crowdfunding!G260="successful",Crowdfunding!H260,0)</f>
        <v>186</v>
      </c>
      <c r="C260" t="str">
        <f>IF(Crowdfunding!G260="failed","failed","")</f>
        <v/>
      </c>
      <c r="D260">
        <f>IF(Crowdfunding!G260="failed",Crowdfunding!H260,0)</f>
        <v>0</v>
      </c>
    </row>
    <row r="261" spans="1:4" x14ac:dyDescent="0.25">
      <c r="A261" t="str">
        <f>IF(Crowdfunding!G261="successful","successful","")</f>
        <v>successful</v>
      </c>
      <c r="B261">
        <f>IF(Crowdfunding!G261="successful",Crowdfunding!H261,0)</f>
        <v>138</v>
      </c>
      <c r="C261" t="str">
        <f>IF(Crowdfunding!G261="failed","failed","")</f>
        <v/>
      </c>
      <c r="D261">
        <f>IF(Crowdfunding!G261="failed",Crowdfunding!H261,0)</f>
        <v>0</v>
      </c>
    </row>
    <row r="262" spans="1:4" x14ac:dyDescent="0.25">
      <c r="A262" t="str">
        <f>IF(Crowdfunding!G262="successful","successful","")</f>
        <v>successful</v>
      </c>
      <c r="B262">
        <f>IF(Crowdfunding!G262="successful",Crowdfunding!H262,0)</f>
        <v>261</v>
      </c>
      <c r="C262" t="str">
        <f>IF(Crowdfunding!G262="failed","failed","")</f>
        <v/>
      </c>
      <c r="D262">
        <f>IF(Crowdfunding!G262="failed",Crowdfunding!H262,0)</f>
        <v>0</v>
      </c>
    </row>
    <row r="263" spans="1:4" x14ac:dyDescent="0.25">
      <c r="A263" t="str">
        <f>IF(Crowdfunding!G263="successful","successful","")</f>
        <v/>
      </c>
      <c r="B263">
        <f>IF(Crowdfunding!G263="successful",Crowdfunding!H263,0)</f>
        <v>0</v>
      </c>
      <c r="C263" t="str">
        <f>IF(Crowdfunding!G263="failed","failed","")</f>
        <v>failed</v>
      </c>
      <c r="D263">
        <f>IF(Crowdfunding!G263="failed",Crowdfunding!H263,0)</f>
        <v>454</v>
      </c>
    </row>
    <row r="264" spans="1:4" x14ac:dyDescent="0.25">
      <c r="A264" t="str">
        <f>IF(Crowdfunding!G264="successful","successful","")</f>
        <v>successful</v>
      </c>
      <c r="B264">
        <f>IF(Crowdfunding!G264="successful",Crowdfunding!H264,0)</f>
        <v>107</v>
      </c>
      <c r="C264" t="str">
        <f>IF(Crowdfunding!G264="failed","failed","")</f>
        <v/>
      </c>
      <c r="D264">
        <f>IF(Crowdfunding!G264="failed",Crowdfunding!H264,0)</f>
        <v>0</v>
      </c>
    </row>
    <row r="265" spans="1:4" x14ac:dyDescent="0.25">
      <c r="A265" t="str">
        <f>IF(Crowdfunding!G265="successful","successful","")</f>
        <v>successful</v>
      </c>
      <c r="B265">
        <f>IF(Crowdfunding!G265="successful",Crowdfunding!H265,0)</f>
        <v>199</v>
      </c>
      <c r="C265" t="str">
        <f>IF(Crowdfunding!G265="failed","failed","")</f>
        <v/>
      </c>
      <c r="D265">
        <f>IF(Crowdfunding!G265="failed",Crowdfunding!H265,0)</f>
        <v>0</v>
      </c>
    </row>
    <row r="266" spans="1:4" x14ac:dyDescent="0.25">
      <c r="A266" t="str">
        <f>IF(Crowdfunding!G266="successful","successful","")</f>
        <v>successful</v>
      </c>
      <c r="B266">
        <f>IF(Crowdfunding!G266="successful",Crowdfunding!H266,0)</f>
        <v>5512</v>
      </c>
      <c r="C266" t="str">
        <f>IF(Crowdfunding!G266="failed","failed","")</f>
        <v/>
      </c>
      <c r="D266">
        <f>IF(Crowdfunding!G266="failed",Crowdfunding!H266,0)</f>
        <v>0</v>
      </c>
    </row>
    <row r="267" spans="1:4" x14ac:dyDescent="0.25">
      <c r="A267" t="str">
        <f>IF(Crowdfunding!G267="successful","successful","")</f>
        <v>successful</v>
      </c>
      <c r="B267">
        <f>IF(Crowdfunding!G267="successful",Crowdfunding!H267,0)</f>
        <v>86</v>
      </c>
      <c r="C267" t="str">
        <f>IF(Crowdfunding!G267="failed","failed","")</f>
        <v/>
      </c>
      <c r="D267">
        <f>IF(Crowdfunding!G267="failed",Crowdfunding!H267,0)</f>
        <v>0</v>
      </c>
    </row>
    <row r="268" spans="1:4" x14ac:dyDescent="0.25">
      <c r="A268" t="str">
        <f>IF(Crowdfunding!G268="successful","successful","")</f>
        <v/>
      </c>
      <c r="B268">
        <f>IF(Crowdfunding!G268="successful",Crowdfunding!H268,0)</f>
        <v>0</v>
      </c>
      <c r="C268" t="str">
        <f>IF(Crowdfunding!G268="failed","failed","")</f>
        <v>failed</v>
      </c>
      <c r="D268">
        <f>IF(Crowdfunding!G268="failed",Crowdfunding!H268,0)</f>
        <v>3182</v>
      </c>
    </row>
    <row r="269" spans="1:4" x14ac:dyDescent="0.25">
      <c r="A269" t="str">
        <f>IF(Crowdfunding!G269="successful","successful","")</f>
        <v>successful</v>
      </c>
      <c r="B269">
        <f>IF(Crowdfunding!G269="successful",Crowdfunding!H269,0)</f>
        <v>2768</v>
      </c>
      <c r="C269" t="str">
        <f>IF(Crowdfunding!G269="failed","failed","")</f>
        <v/>
      </c>
      <c r="D269">
        <f>IF(Crowdfunding!G269="failed",Crowdfunding!H269,0)</f>
        <v>0</v>
      </c>
    </row>
    <row r="270" spans="1:4" x14ac:dyDescent="0.25">
      <c r="A270" t="str">
        <f>IF(Crowdfunding!G270="successful","successful","")</f>
        <v>successful</v>
      </c>
      <c r="B270">
        <f>IF(Crowdfunding!G270="successful",Crowdfunding!H270,0)</f>
        <v>48</v>
      </c>
      <c r="C270" t="str">
        <f>IF(Crowdfunding!G270="failed","failed","")</f>
        <v/>
      </c>
      <c r="D270">
        <f>IF(Crowdfunding!G270="failed",Crowdfunding!H270,0)</f>
        <v>0</v>
      </c>
    </row>
    <row r="271" spans="1:4" x14ac:dyDescent="0.25">
      <c r="A271" t="str">
        <f>IF(Crowdfunding!G271="successful","successful","")</f>
        <v>successful</v>
      </c>
      <c r="B271">
        <f>IF(Crowdfunding!G271="successful",Crowdfunding!H271,0)</f>
        <v>87</v>
      </c>
      <c r="C271" t="str">
        <f>IF(Crowdfunding!G271="failed","failed","")</f>
        <v/>
      </c>
      <c r="D271">
        <f>IF(Crowdfunding!G271="failed",Crowdfunding!H271,0)</f>
        <v>0</v>
      </c>
    </row>
    <row r="272" spans="1:4" x14ac:dyDescent="0.25">
      <c r="A272" t="str">
        <f>IF(Crowdfunding!G272="successful","successful","")</f>
        <v/>
      </c>
      <c r="B272">
        <f>IF(Crowdfunding!G272="successful",Crowdfunding!H272,0)</f>
        <v>0</v>
      </c>
      <c r="C272" t="str">
        <f>IF(Crowdfunding!G272="failed","failed","")</f>
        <v/>
      </c>
      <c r="D272">
        <f>IF(Crowdfunding!G272="failed",Crowdfunding!H272,0)</f>
        <v>0</v>
      </c>
    </row>
    <row r="273" spans="1:4" x14ac:dyDescent="0.25">
      <c r="A273" t="str">
        <f>IF(Crowdfunding!G273="successful","successful","")</f>
        <v/>
      </c>
      <c r="B273">
        <f>IF(Crowdfunding!G273="successful",Crowdfunding!H273,0)</f>
        <v>0</v>
      </c>
      <c r="C273" t="str">
        <f>IF(Crowdfunding!G273="failed","failed","")</f>
        <v/>
      </c>
      <c r="D273">
        <f>IF(Crowdfunding!G273="failed",Crowdfunding!H273,0)</f>
        <v>0</v>
      </c>
    </row>
    <row r="274" spans="1:4" x14ac:dyDescent="0.25">
      <c r="A274" t="str">
        <f>IF(Crowdfunding!G274="successful","successful","")</f>
        <v>successful</v>
      </c>
      <c r="B274">
        <f>IF(Crowdfunding!G274="successful",Crowdfunding!H274,0)</f>
        <v>1894</v>
      </c>
      <c r="C274" t="str">
        <f>IF(Crowdfunding!G274="failed","failed","")</f>
        <v/>
      </c>
      <c r="D274">
        <f>IF(Crowdfunding!G274="failed",Crowdfunding!H274,0)</f>
        <v>0</v>
      </c>
    </row>
    <row r="275" spans="1:4" x14ac:dyDescent="0.25">
      <c r="A275" t="str">
        <f>IF(Crowdfunding!G275="successful","successful","")</f>
        <v>successful</v>
      </c>
      <c r="B275">
        <f>IF(Crowdfunding!G275="successful",Crowdfunding!H275,0)</f>
        <v>282</v>
      </c>
      <c r="C275" t="str">
        <f>IF(Crowdfunding!G275="failed","failed","")</f>
        <v/>
      </c>
      <c r="D275">
        <f>IF(Crowdfunding!G275="failed",Crowdfunding!H275,0)</f>
        <v>0</v>
      </c>
    </row>
    <row r="276" spans="1:4" x14ac:dyDescent="0.25">
      <c r="A276" t="str">
        <f>IF(Crowdfunding!G276="successful","successful","")</f>
        <v/>
      </c>
      <c r="B276">
        <f>IF(Crowdfunding!G276="successful",Crowdfunding!H276,0)</f>
        <v>0</v>
      </c>
      <c r="C276" t="str">
        <f>IF(Crowdfunding!G276="failed","failed","")</f>
        <v>failed</v>
      </c>
      <c r="D276">
        <f>IF(Crowdfunding!G276="failed",Crowdfunding!H276,0)</f>
        <v>15</v>
      </c>
    </row>
    <row r="277" spans="1:4" x14ac:dyDescent="0.25">
      <c r="A277" t="str">
        <f>IF(Crowdfunding!G277="successful","successful","")</f>
        <v>successful</v>
      </c>
      <c r="B277">
        <f>IF(Crowdfunding!G277="successful",Crowdfunding!H277,0)</f>
        <v>116</v>
      </c>
      <c r="C277" t="str">
        <f>IF(Crowdfunding!G277="failed","failed","")</f>
        <v/>
      </c>
      <c r="D277">
        <f>IF(Crowdfunding!G277="failed",Crowdfunding!H277,0)</f>
        <v>0</v>
      </c>
    </row>
    <row r="278" spans="1:4" x14ac:dyDescent="0.25">
      <c r="A278" t="str">
        <f>IF(Crowdfunding!G278="successful","successful","")</f>
        <v/>
      </c>
      <c r="B278">
        <f>IF(Crowdfunding!G278="successful",Crowdfunding!H278,0)</f>
        <v>0</v>
      </c>
      <c r="C278" t="str">
        <f>IF(Crowdfunding!G278="failed","failed","")</f>
        <v>failed</v>
      </c>
      <c r="D278">
        <f>IF(Crowdfunding!G278="failed",Crowdfunding!H278,0)</f>
        <v>133</v>
      </c>
    </row>
    <row r="279" spans="1:4" x14ac:dyDescent="0.25">
      <c r="A279" t="str">
        <f>IF(Crowdfunding!G279="successful","successful","")</f>
        <v>successful</v>
      </c>
      <c r="B279">
        <f>IF(Crowdfunding!G279="successful",Crowdfunding!H279,0)</f>
        <v>83</v>
      </c>
      <c r="C279" t="str">
        <f>IF(Crowdfunding!G279="failed","failed","")</f>
        <v/>
      </c>
      <c r="D279">
        <f>IF(Crowdfunding!G279="failed",Crowdfunding!H279,0)</f>
        <v>0</v>
      </c>
    </row>
    <row r="280" spans="1:4" x14ac:dyDescent="0.25">
      <c r="A280" t="str">
        <f>IF(Crowdfunding!G280="successful","successful","")</f>
        <v>successful</v>
      </c>
      <c r="B280">
        <f>IF(Crowdfunding!G280="successful",Crowdfunding!H280,0)</f>
        <v>91</v>
      </c>
      <c r="C280" t="str">
        <f>IF(Crowdfunding!G280="failed","failed","")</f>
        <v/>
      </c>
      <c r="D280">
        <f>IF(Crowdfunding!G280="failed",Crowdfunding!H280,0)</f>
        <v>0</v>
      </c>
    </row>
    <row r="281" spans="1:4" x14ac:dyDescent="0.25">
      <c r="A281" t="str">
        <f>IF(Crowdfunding!G281="successful","successful","")</f>
        <v>successful</v>
      </c>
      <c r="B281">
        <f>IF(Crowdfunding!G281="successful",Crowdfunding!H281,0)</f>
        <v>546</v>
      </c>
      <c r="C281" t="str">
        <f>IF(Crowdfunding!G281="failed","failed","")</f>
        <v/>
      </c>
      <c r="D281">
        <f>IF(Crowdfunding!G281="failed",Crowdfunding!H281,0)</f>
        <v>0</v>
      </c>
    </row>
    <row r="282" spans="1:4" x14ac:dyDescent="0.25">
      <c r="A282" t="str">
        <f>IF(Crowdfunding!G282="successful","successful","")</f>
        <v>successful</v>
      </c>
      <c r="B282">
        <f>IF(Crowdfunding!G282="successful",Crowdfunding!H282,0)</f>
        <v>393</v>
      </c>
      <c r="C282" t="str">
        <f>IF(Crowdfunding!G282="failed","failed","")</f>
        <v/>
      </c>
      <c r="D282">
        <f>IF(Crowdfunding!G282="failed",Crowdfunding!H282,0)</f>
        <v>0</v>
      </c>
    </row>
    <row r="283" spans="1:4" x14ac:dyDescent="0.25">
      <c r="A283" t="str">
        <f>IF(Crowdfunding!G283="successful","successful","")</f>
        <v/>
      </c>
      <c r="B283">
        <f>IF(Crowdfunding!G283="successful",Crowdfunding!H283,0)</f>
        <v>0</v>
      </c>
      <c r="C283" t="str">
        <f>IF(Crowdfunding!G283="failed","failed","")</f>
        <v>failed</v>
      </c>
      <c r="D283">
        <f>IF(Crowdfunding!G283="failed",Crowdfunding!H283,0)</f>
        <v>2062</v>
      </c>
    </row>
    <row r="284" spans="1:4" x14ac:dyDescent="0.25">
      <c r="A284" t="str">
        <f>IF(Crowdfunding!G284="successful","successful","")</f>
        <v>successful</v>
      </c>
      <c r="B284">
        <f>IF(Crowdfunding!G284="successful",Crowdfunding!H284,0)</f>
        <v>133</v>
      </c>
      <c r="C284" t="str">
        <f>IF(Crowdfunding!G284="failed","failed","")</f>
        <v/>
      </c>
      <c r="D284">
        <f>IF(Crowdfunding!G284="failed",Crowdfunding!H284,0)</f>
        <v>0</v>
      </c>
    </row>
    <row r="285" spans="1:4" x14ac:dyDescent="0.25">
      <c r="A285" t="str">
        <f>IF(Crowdfunding!G285="successful","successful","")</f>
        <v/>
      </c>
      <c r="B285">
        <f>IF(Crowdfunding!G285="successful",Crowdfunding!H285,0)</f>
        <v>0</v>
      </c>
      <c r="C285" t="str">
        <f>IF(Crowdfunding!G285="failed","failed","")</f>
        <v>failed</v>
      </c>
      <c r="D285">
        <f>IF(Crowdfunding!G285="failed",Crowdfunding!H285,0)</f>
        <v>29</v>
      </c>
    </row>
    <row r="286" spans="1:4" x14ac:dyDescent="0.25">
      <c r="A286" t="str">
        <f>IF(Crowdfunding!G286="successful","successful","")</f>
        <v/>
      </c>
      <c r="B286">
        <f>IF(Crowdfunding!G286="successful",Crowdfunding!H286,0)</f>
        <v>0</v>
      </c>
      <c r="C286" t="str">
        <f>IF(Crowdfunding!G286="failed","failed","")</f>
        <v>failed</v>
      </c>
      <c r="D286">
        <f>IF(Crowdfunding!G286="failed",Crowdfunding!H286,0)</f>
        <v>132</v>
      </c>
    </row>
    <row r="287" spans="1:4" x14ac:dyDescent="0.25">
      <c r="A287" t="str">
        <f>IF(Crowdfunding!G287="successful","successful","")</f>
        <v>successful</v>
      </c>
      <c r="B287">
        <f>IF(Crowdfunding!G287="successful",Crowdfunding!H287,0)</f>
        <v>254</v>
      </c>
      <c r="C287" t="str">
        <f>IF(Crowdfunding!G287="failed","failed","")</f>
        <v/>
      </c>
      <c r="D287">
        <f>IF(Crowdfunding!G287="failed",Crowdfunding!H287,0)</f>
        <v>0</v>
      </c>
    </row>
    <row r="288" spans="1:4" x14ac:dyDescent="0.25">
      <c r="A288" t="str">
        <f>IF(Crowdfunding!G288="successful","successful","")</f>
        <v/>
      </c>
      <c r="B288">
        <f>IF(Crowdfunding!G288="successful",Crowdfunding!H288,0)</f>
        <v>0</v>
      </c>
      <c r="C288" t="str">
        <f>IF(Crowdfunding!G288="failed","failed","")</f>
        <v/>
      </c>
      <c r="D288">
        <f>IF(Crowdfunding!G288="failed",Crowdfunding!H288,0)</f>
        <v>0</v>
      </c>
    </row>
    <row r="289" spans="1:4" x14ac:dyDescent="0.25">
      <c r="A289" t="str">
        <f>IF(Crowdfunding!G289="successful","successful","")</f>
        <v>successful</v>
      </c>
      <c r="B289">
        <f>IF(Crowdfunding!G289="successful",Crowdfunding!H289,0)</f>
        <v>176</v>
      </c>
      <c r="C289" t="str">
        <f>IF(Crowdfunding!G289="failed","failed","")</f>
        <v/>
      </c>
      <c r="D289">
        <f>IF(Crowdfunding!G289="failed",Crowdfunding!H289,0)</f>
        <v>0</v>
      </c>
    </row>
    <row r="290" spans="1:4" x14ac:dyDescent="0.25">
      <c r="A290" t="str">
        <f>IF(Crowdfunding!G290="successful","successful","")</f>
        <v/>
      </c>
      <c r="B290">
        <f>IF(Crowdfunding!G290="successful",Crowdfunding!H290,0)</f>
        <v>0</v>
      </c>
      <c r="C290" t="str">
        <f>IF(Crowdfunding!G290="failed","failed","")</f>
        <v>failed</v>
      </c>
      <c r="D290">
        <f>IF(Crowdfunding!G290="failed",Crowdfunding!H290,0)</f>
        <v>137</v>
      </c>
    </row>
    <row r="291" spans="1:4" x14ac:dyDescent="0.25">
      <c r="A291" t="str">
        <f>IF(Crowdfunding!G291="successful","successful","")</f>
        <v>successful</v>
      </c>
      <c r="B291">
        <f>IF(Crowdfunding!G291="successful",Crowdfunding!H291,0)</f>
        <v>337</v>
      </c>
      <c r="C291" t="str">
        <f>IF(Crowdfunding!G291="failed","failed","")</f>
        <v/>
      </c>
      <c r="D291">
        <f>IF(Crowdfunding!G291="failed",Crowdfunding!H291,0)</f>
        <v>0</v>
      </c>
    </row>
    <row r="292" spans="1:4" x14ac:dyDescent="0.25">
      <c r="A292" t="str">
        <f>IF(Crowdfunding!G292="successful","successful","")</f>
        <v/>
      </c>
      <c r="B292">
        <f>IF(Crowdfunding!G292="successful",Crowdfunding!H292,0)</f>
        <v>0</v>
      </c>
      <c r="C292" t="str">
        <f>IF(Crowdfunding!G292="failed","failed","")</f>
        <v>failed</v>
      </c>
      <c r="D292">
        <f>IF(Crowdfunding!G292="failed",Crowdfunding!H292,0)</f>
        <v>908</v>
      </c>
    </row>
    <row r="293" spans="1:4" x14ac:dyDescent="0.25">
      <c r="A293" t="str">
        <f>IF(Crowdfunding!G293="successful","successful","")</f>
        <v>successful</v>
      </c>
      <c r="B293">
        <f>IF(Crowdfunding!G293="successful",Crowdfunding!H293,0)</f>
        <v>107</v>
      </c>
      <c r="C293" t="str">
        <f>IF(Crowdfunding!G293="failed","failed","")</f>
        <v/>
      </c>
      <c r="D293">
        <f>IF(Crowdfunding!G293="failed",Crowdfunding!H293,0)</f>
        <v>0</v>
      </c>
    </row>
    <row r="294" spans="1:4" x14ac:dyDescent="0.25">
      <c r="A294" t="str">
        <f>IF(Crowdfunding!G294="successful","successful","")</f>
        <v/>
      </c>
      <c r="B294">
        <f>IF(Crowdfunding!G294="successful",Crowdfunding!H294,0)</f>
        <v>0</v>
      </c>
      <c r="C294" t="str">
        <f>IF(Crowdfunding!G294="failed","failed","")</f>
        <v>failed</v>
      </c>
      <c r="D294">
        <f>IF(Crowdfunding!G294="failed",Crowdfunding!H294,0)</f>
        <v>10</v>
      </c>
    </row>
    <row r="295" spans="1:4" x14ac:dyDescent="0.25">
      <c r="A295" t="str">
        <f>IF(Crowdfunding!G295="successful","successful","")</f>
        <v/>
      </c>
      <c r="B295">
        <f>IF(Crowdfunding!G295="successful",Crowdfunding!H295,0)</f>
        <v>0</v>
      </c>
      <c r="C295" t="str">
        <f>IF(Crowdfunding!G295="failed","failed","")</f>
        <v/>
      </c>
      <c r="D295">
        <f>IF(Crowdfunding!G295="failed",Crowdfunding!H295,0)</f>
        <v>0</v>
      </c>
    </row>
    <row r="296" spans="1:4" x14ac:dyDescent="0.25">
      <c r="A296" t="str">
        <f>IF(Crowdfunding!G296="successful","successful","")</f>
        <v>successful</v>
      </c>
      <c r="B296">
        <f>IF(Crowdfunding!G296="successful",Crowdfunding!H296,0)</f>
        <v>183</v>
      </c>
      <c r="C296" t="str">
        <f>IF(Crowdfunding!G296="failed","failed","")</f>
        <v/>
      </c>
      <c r="D296">
        <f>IF(Crowdfunding!G296="failed",Crowdfunding!H296,0)</f>
        <v>0</v>
      </c>
    </row>
    <row r="297" spans="1:4" x14ac:dyDescent="0.25">
      <c r="A297" t="str">
        <f>IF(Crowdfunding!G297="successful","successful","")</f>
        <v/>
      </c>
      <c r="B297">
        <f>IF(Crowdfunding!G297="successful",Crowdfunding!H297,0)</f>
        <v>0</v>
      </c>
      <c r="C297" t="str">
        <f>IF(Crowdfunding!G297="failed","failed","")</f>
        <v>failed</v>
      </c>
      <c r="D297">
        <f>IF(Crowdfunding!G297="failed",Crowdfunding!H297,0)</f>
        <v>1910</v>
      </c>
    </row>
    <row r="298" spans="1:4" x14ac:dyDescent="0.25">
      <c r="A298" t="str">
        <f>IF(Crowdfunding!G298="successful","successful","")</f>
        <v/>
      </c>
      <c r="B298">
        <f>IF(Crowdfunding!G298="successful",Crowdfunding!H298,0)</f>
        <v>0</v>
      </c>
      <c r="C298" t="str">
        <f>IF(Crowdfunding!G298="failed","failed","")</f>
        <v>failed</v>
      </c>
      <c r="D298">
        <f>IF(Crowdfunding!G298="failed",Crowdfunding!H298,0)</f>
        <v>38</v>
      </c>
    </row>
    <row r="299" spans="1:4" x14ac:dyDescent="0.25">
      <c r="A299" t="str">
        <f>IF(Crowdfunding!G299="successful","successful","")</f>
        <v/>
      </c>
      <c r="B299">
        <f>IF(Crowdfunding!G299="successful",Crowdfunding!H299,0)</f>
        <v>0</v>
      </c>
      <c r="C299" t="str">
        <f>IF(Crowdfunding!G299="failed","failed","")</f>
        <v>failed</v>
      </c>
      <c r="D299">
        <f>IF(Crowdfunding!G299="failed",Crowdfunding!H299,0)</f>
        <v>104</v>
      </c>
    </row>
    <row r="300" spans="1:4" x14ac:dyDescent="0.25">
      <c r="A300" t="str">
        <f>IF(Crowdfunding!G300="successful","successful","")</f>
        <v>successful</v>
      </c>
      <c r="B300">
        <f>IF(Crowdfunding!G300="successful",Crowdfunding!H300,0)</f>
        <v>72</v>
      </c>
      <c r="C300" t="str">
        <f>IF(Crowdfunding!G300="failed","failed","")</f>
        <v/>
      </c>
      <c r="D300">
        <f>IF(Crowdfunding!G300="failed",Crowdfunding!H300,0)</f>
        <v>0</v>
      </c>
    </row>
    <row r="301" spans="1:4" x14ac:dyDescent="0.25">
      <c r="A301" t="str">
        <f>IF(Crowdfunding!G301="successful","successful","")</f>
        <v/>
      </c>
      <c r="B301">
        <f>IF(Crowdfunding!G301="successful",Crowdfunding!H301,0)</f>
        <v>0</v>
      </c>
      <c r="C301" t="str">
        <f>IF(Crowdfunding!G301="failed","failed","")</f>
        <v>failed</v>
      </c>
      <c r="D301">
        <f>IF(Crowdfunding!G301="failed",Crowdfunding!H301,0)</f>
        <v>49</v>
      </c>
    </row>
    <row r="302" spans="1:4" x14ac:dyDescent="0.25">
      <c r="A302" t="str">
        <f>IF(Crowdfunding!G302="successful","successful","")</f>
        <v/>
      </c>
      <c r="B302">
        <f>IF(Crowdfunding!G302="successful",Crowdfunding!H302,0)</f>
        <v>0</v>
      </c>
      <c r="C302" t="str">
        <f>IF(Crowdfunding!G302="failed","failed","")</f>
        <v>failed</v>
      </c>
      <c r="D302">
        <f>IF(Crowdfunding!G302="failed",Crowdfunding!H302,0)</f>
        <v>1</v>
      </c>
    </row>
    <row r="303" spans="1:4" x14ac:dyDescent="0.25">
      <c r="A303" t="str">
        <f>IF(Crowdfunding!G303="successful","successful","")</f>
        <v>successful</v>
      </c>
      <c r="B303">
        <f>IF(Crowdfunding!G303="successful",Crowdfunding!H303,0)</f>
        <v>295</v>
      </c>
      <c r="C303" t="str">
        <f>IF(Crowdfunding!G303="failed","failed","")</f>
        <v/>
      </c>
      <c r="D303">
        <f>IF(Crowdfunding!G303="failed",Crowdfunding!H303,0)</f>
        <v>0</v>
      </c>
    </row>
    <row r="304" spans="1:4" x14ac:dyDescent="0.25">
      <c r="A304" t="str">
        <f>IF(Crowdfunding!G304="successful","successful","")</f>
        <v/>
      </c>
      <c r="B304">
        <f>IF(Crowdfunding!G304="successful",Crowdfunding!H304,0)</f>
        <v>0</v>
      </c>
      <c r="C304" t="str">
        <f>IF(Crowdfunding!G304="failed","failed","")</f>
        <v>failed</v>
      </c>
      <c r="D304">
        <f>IF(Crowdfunding!G304="failed",Crowdfunding!H304,0)</f>
        <v>245</v>
      </c>
    </row>
    <row r="305" spans="1:4" x14ac:dyDescent="0.25">
      <c r="A305" t="str">
        <f>IF(Crowdfunding!G305="successful","successful","")</f>
        <v/>
      </c>
      <c r="B305">
        <f>IF(Crowdfunding!G305="successful",Crowdfunding!H305,0)</f>
        <v>0</v>
      </c>
      <c r="C305" t="str">
        <f>IF(Crowdfunding!G305="failed","failed","")</f>
        <v>failed</v>
      </c>
      <c r="D305">
        <f>IF(Crowdfunding!G305="failed",Crowdfunding!H305,0)</f>
        <v>32</v>
      </c>
    </row>
    <row r="306" spans="1:4" x14ac:dyDescent="0.25">
      <c r="A306" t="str">
        <f>IF(Crowdfunding!G306="successful","successful","")</f>
        <v>successful</v>
      </c>
      <c r="B306">
        <f>IF(Crowdfunding!G306="successful",Crowdfunding!H306,0)</f>
        <v>142</v>
      </c>
      <c r="C306" t="str">
        <f>IF(Crowdfunding!G306="failed","failed","")</f>
        <v/>
      </c>
      <c r="D306">
        <f>IF(Crowdfunding!G306="failed",Crowdfunding!H306,0)</f>
        <v>0</v>
      </c>
    </row>
    <row r="307" spans="1:4" x14ac:dyDescent="0.25">
      <c r="A307" t="str">
        <f>IF(Crowdfunding!G307="successful","successful","")</f>
        <v>successful</v>
      </c>
      <c r="B307">
        <f>IF(Crowdfunding!G307="successful",Crowdfunding!H307,0)</f>
        <v>85</v>
      </c>
      <c r="C307" t="str">
        <f>IF(Crowdfunding!G307="failed","failed","")</f>
        <v/>
      </c>
      <c r="D307">
        <f>IF(Crowdfunding!G307="failed",Crowdfunding!H307,0)</f>
        <v>0</v>
      </c>
    </row>
    <row r="308" spans="1:4" x14ac:dyDescent="0.25">
      <c r="A308" t="str">
        <f>IF(Crowdfunding!G308="successful","successful","")</f>
        <v/>
      </c>
      <c r="B308">
        <f>IF(Crowdfunding!G308="successful",Crowdfunding!H308,0)</f>
        <v>0</v>
      </c>
      <c r="C308" t="str">
        <f>IF(Crowdfunding!G308="failed","failed","")</f>
        <v>failed</v>
      </c>
      <c r="D308">
        <f>IF(Crowdfunding!G308="failed",Crowdfunding!H308,0)</f>
        <v>7</v>
      </c>
    </row>
    <row r="309" spans="1:4" x14ac:dyDescent="0.25">
      <c r="A309" t="str">
        <f>IF(Crowdfunding!G309="successful","successful","")</f>
        <v>successful</v>
      </c>
      <c r="B309">
        <f>IF(Crowdfunding!G309="successful",Crowdfunding!H309,0)</f>
        <v>659</v>
      </c>
      <c r="C309" t="str">
        <f>IF(Crowdfunding!G309="failed","failed","")</f>
        <v/>
      </c>
      <c r="D309">
        <f>IF(Crowdfunding!G309="failed",Crowdfunding!H309,0)</f>
        <v>0</v>
      </c>
    </row>
    <row r="310" spans="1:4" x14ac:dyDescent="0.25">
      <c r="A310" t="str">
        <f>IF(Crowdfunding!G310="successful","successful","")</f>
        <v/>
      </c>
      <c r="B310">
        <f>IF(Crowdfunding!G310="successful",Crowdfunding!H310,0)</f>
        <v>0</v>
      </c>
      <c r="C310" t="str">
        <f>IF(Crowdfunding!G310="failed","failed","")</f>
        <v>failed</v>
      </c>
      <c r="D310">
        <f>IF(Crowdfunding!G310="failed",Crowdfunding!H310,0)</f>
        <v>803</v>
      </c>
    </row>
    <row r="311" spans="1:4" x14ac:dyDescent="0.25">
      <c r="A311" t="str">
        <f>IF(Crowdfunding!G311="successful","successful","")</f>
        <v/>
      </c>
      <c r="B311">
        <f>IF(Crowdfunding!G311="successful",Crowdfunding!H311,0)</f>
        <v>0</v>
      </c>
      <c r="C311" t="str">
        <f>IF(Crowdfunding!G311="failed","failed","")</f>
        <v/>
      </c>
      <c r="D311">
        <f>IF(Crowdfunding!G311="failed",Crowdfunding!H311,0)</f>
        <v>0</v>
      </c>
    </row>
    <row r="312" spans="1:4" x14ac:dyDescent="0.25">
      <c r="A312" t="str">
        <f>IF(Crowdfunding!G312="successful","successful","")</f>
        <v/>
      </c>
      <c r="B312">
        <f>IF(Crowdfunding!G312="successful",Crowdfunding!H312,0)</f>
        <v>0</v>
      </c>
      <c r="C312" t="str">
        <f>IF(Crowdfunding!G312="failed","failed","")</f>
        <v>failed</v>
      </c>
      <c r="D312">
        <f>IF(Crowdfunding!G312="failed",Crowdfunding!H312,0)</f>
        <v>16</v>
      </c>
    </row>
    <row r="313" spans="1:4" x14ac:dyDescent="0.25">
      <c r="A313" t="str">
        <f>IF(Crowdfunding!G313="successful","successful","")</f>
        <v>successful</v>
      </c>
      <c r="B313">
        <f>IF(Crowdfunding!G313="successful",Crowdfunding!H313,0)</f>
        <v>121</v>
      </c>
      <c r="C313" t="str">
        <f>IF(Crowdfunding!G313="failed","failed","")</f>
        <v/>
      </c>
      <c r="D313">
        <f>IF(Crowdfunding!G313="failed",Crowdfunding!H313,0)</f>
        <v>0</v>
      </c>
    </row>
    <row r="314" spans="1:4" x14ac:dyDescent="0.25">
      <c r="A314" t="str">
        <f>IF(Crowdfunding!G314="successful","successful","")</f>
        <v>successful</v>
      </c>
      <c r="B314">
        <f>IF(Crowdfunding!G314="successful",Crowdfunding!H314,0)</f>
        <v>3742</v>
      </c>
      <c r="C314" t="str">
        <f>IF(Crowdfunding!G314="failed","failed","")</f>
        <v/>
      </c>
      <c r="D314">
        <f>IF(Crowdfunding!G314="failed",Crowdfunding!H314,0)</f>
        <v>0</v>
      </c>
    </row>
    <row r="315" spans="1:4" x14ac:dyDescent="0.25">
      <c r="A315" t="str">
        <f>IF(Crowdfunding!G315="successful","successful","")</f>
        <v>successful</v>
      </c>
      <c r="B315">
        <f>IF(Crowdfunding!G315="successful",Crowdfunding!H315,0)</f>
        <v>223</v>
      </c>
      <c r="C315" t="str">
        <f>IF(Crowdfunding!G315="failed","failed","")</f>
        <v/>
      </c>
      <c r="D315">
        <f>IF(Crowdfunding!G315="failed",Crowdfunding!H315,0)</f>
        <v>0</v>
      </c>
    </row>
    <row r="316" spans="1:4" x14ac:dyDescent="0.25">
      <c r="A316" t="str">
        <f>IF(Crowdfunding!G316="successful","successful","")</f>
        <v>successful</v>
      </c>
      <c r="B316">
        <f>IF(Crowdfunding!G316="successful",Crowdfunding!H316,0)</f>
        <v>133</v>
      </c>
      <c r="C316" t="str">
        <f>IF(Crowdfunding!G316="failed","failed","")</f>
        <v/>
      </c>
      <c r="D316">
        <f>IF(Crowdfunding!G316="failed",Crowdfunding!H316,0)</f>
        <v>0</v>
      </c>
    </row>
    <row r="317" spans="1:4" x14ac:dyDescent="0.25">
      <c r="A317" t="str">
        <f>IF(Crowdfunding!G317="successful","successful","")</f>
        <v/>
      </c>
      <c r="B317">
        <f>IF(Crowdfunding!G317="successful",Crowdfunding!H317,0)</f>
        <v>0</v>
      </c>
      <c r="C317" t="str">
        <f>IF(Crowdfunding!G317="failed","failed","")</f>
        <v>failed</v>
      </c>
      <c r="D317">
        <f>IF(Crowdfunding!G317="failed",Crowdfunding!H317,0)</f>
        <v>31</v>
      </c>
    </row>
    <row r="318" spans="1:4" x14ac:dyDescent="0.25">
      <c r="A318" t="str">
        <f>IF(Crowdfunding!G318="successful","successful","")</f>
        <v/>
      </c>
      <c r="B318">
        <f>IF(Crowdfunding!G318="successful",Crowdfunding!H318,0)</f>
        <v>0</v>
      </c>
      <c r="C318" t="str">
        <f>IF(Crowdfunding!G318="failed","failed","")</f>
        <v>failed</v>
      </c>
      <c r="D318">
        <f>IF(Crowdfunding!G318="failed",Crowdfunding!H318,0)</f>
        <v>108</v>
      </c>
    </row>
    <row r="319" spans="1:4" x14ac:dyDescent="0.25">
      <c r="A319" t="str">
        <f>IF(Crowdfunding!G319="successful","successful","")</f>
        <v/>
      </c>
      <c r="B319">
        <f>IF(Crowdfunding!G319="successful",Crowdfunding!H319,0)</f>
        <v>0</v>
      </c>
      <c r="C319" t="str">
        <f>IF(Crowdfunding!G319="failed","failed","")</f>
        <v>failed</v>
      </c>
      <c r="D319">
        <f>IF(Crowdfunding!G319="failed",Crowdfunding!H319,0)</f>
        <v>30</v>
      </c>
    </row>
    <row r="320" spans="1:4" x14ac:dyDescent="0.25">
      <c r="A320" t="str">
        <f>IF(Crowdfunding!G320="successful","successful","")</f>
        <v/>
      </c>
      <c r="B320">
        <f>IF(Crowdfunding!G320="successful",Crowdfunding!H320,0)</f>
        <v>0</v>
      </c>
      <c r="C320" t="str">
        <f>IF(Crowdfunding!G320="failed","failed","")</f>
        <v>failed</v>
      </c>
      <c r="D320">
        <f>IF(Crowdfunding!G320="failed",Crowdfunding!H320,0)</f>
        <v>17</v>
      </c>
    </row>
    <row r="321" spans="1:4" x14ac:dyDescent="0.25">
      <c r="A321" t="str">
        <f>IF(Crowdfunding!G321="successful","successful","")</f>
        <v/>
      </c>
      <c r="B321">
        <f>IF(Crowdfunding!G321="successful",Crowdfunding!H321,0)</f>
        <v>0</v>
      </c>
      <c r="C321" t="str">
        <f>IF(Crowdfunding!G321="failed","failed","")</f>
        <v/>
      </c>
      <c r="D321">
        <f>IF(Crowdfunding!G321="failed",Crowdfunding!H321,0)</f>
        <v>0</v>
      </c>
    </row>
    <row r="322" spans="1:4" x14ac:dyDescent="0.25">
      <c r="A322" t="str">
        <f>IF(Crowdfunding!G322="successful","successful","")</f>
        <v/>
      </c>
      <c r="B322">
        <f>IF(Crowdfunding!G322="successful",Crowdfunding!H322,0)</f>
        <v>0</v>
      </c>
      <c r="C322" t="str">
        <f>IF(Crowdfunding!G322="failed","failed","")</f>
        <v>failed</v>
      </c>
      <c r="D322">
        <f>IF(Crowdfunding!G322="failed",Crowdfunding!H322,0)</f>
        <v>80</v>
      </c>
    </row>
    <row r="323" spans="1:4" x14ac:dyDescent="0.25">
      <c r="A323" t="str">
        <f>IF(Crowdfunding!G323="successful","successful","")</f>
        <v/>
      </c>
      <c r="B323">
        <f>IF(Crowdfunding!G323="successful",Crowdfunding!H323,0)</f>
        <v>0</v>
      </c>
      <c r="C323" t="str">
        <f>IF(Crowdfunding!G323="failed","failed","")</f>
        <v>failed</v>
      </c>
      <c r="D323">
        <f>IF(Crowdfunding!G323="failed",Crowdfunding!H323,0)</f>
        <v>2468</v>
      </c>
    </row>
    <row r="324" spans="1:4" x14ac:dyDescent="0.25">
      <c r="A324" t="str">
        <f>IF(Crowdfunding!G324="successful","successful","")</f>
        <v>successful</v>
      </c>
      <c r="B324">
        <f>IF(Crowdfunding!G324="successful",Crowdfunding!H324,0)</f>
        <v>5168</v>
      </c>
      <c r="C324" t="str">
        <f>IF(Crowdfunding!G324="failed","failed","")</f>
        <v/>
      </c>
      <c r="D324">
        <f>IF(Crowdfunding!G324="failed",Crowdfunding!H324,0)</f>
        <v>0</v>
      </c>
    </row>
    <row r="325" spans="1:4" x14ac:dyDescent="0.25">
      <c r="A325" t="str">
        <f>IF(Crowdfunding!G325="successful","successful","")</f>
        <v/>
      </c>
      <c r="B325">
        <f>IF(Crowdfunding!G325="successful",Crowdfunding!H325,0)</f>
        <v>0</v>
      </c>
      <c r="C325" t="str">
        <f>IF(Crowdfunding!G325="failed","failed","")</f>
        <v>failed</v>
      </c>
      <c r="D325">
        <f>IF(Crowdfunding!G325="failed",Crowdfunding!H325,0)</f>
        <v>26</v>
      </c>
    </row>
    <row r="326" spans="1:4" x14ac:dyDescent="0.25">
      <c r="A326" t="str">
        <f>IF(Crowdfunding!G326="successful","successful","")</f>
        <v>successful</v>
      </c>
      <c r="B326">
        <f>IF(Crowdfunding!G326="successful",Crowdfunding!H326,0)</f>
        <v>307</v>
      </c>
      <c r="C326" t="str">
        <f>IF(Crowdfunding!G326="failed","failed","")</f>
        <v/>
      </c>
      <c r="D326">
        <f>IF(Crowdfunding!G326="failed",Crowdfunding!H326,0)</f>
        <v>0</v>
      </c>
    </row>
    <row r="327" spans="1:4" x14ac:dyDescent="0.25">
      <c r="A327" t="str">
        <f>IF(Crowdfunding!G327="successful","successful","")</f>
        <v/>
      </c>
      <c r="B327">
        <f>IF(Crowdfunding!G327="successful",Crowdfunding!H327,0)</f>
        <v>0</v>
      </c>
      <c r="C327" t="str">
        <f>IF(Crowdfunding!G327="failed","failed","")</f>
        <v>failed</v>
      </c>
      <c r="D327">
        <f>IF(Crowdfunding!G327="failed",Crowdfunding!H327,0)</f>
        <v>73</v>
      </c>
    </row>
    <row r="328" spans="1:4" x14ac:dyDescent="0.25">
      <c r="A328" t="str">
        <f>IF(Crowdfunding!G328="successful","successful","")</f>
        <v/>
      </c>
      <c r="B328">
        <f>IF(Crowdfunding!G328="successful",Crowdfunding!H328,0)</f>
        <v>0</v>
      </c>
      <c r="C328" t="str">
        <f>IF(Crowdfunding!G328="failed","failed","")</f>
        <v>failed</v>
      </c>
      <c r="D328">
        <f>IF(Crowdfunding!G328="failed",Crowdfunding!H328,0)</f>
        <v>128</v>
      </c>
    </row>
    <row r="329" spans="1:4" x14ac:dyDescent="0.25">
      <c r="A329" t="str">
        <f>IF(Crowdfunding!G329="successful","successful","")</f>
        <v/>
      </c>
      <c r="B329">
        <f>IF(Crowdfunding!G329="successful",Crowdfunding!H329,0)</f>
        <v>0</v>
      </c>
      <c r="C329" t="str">
        <f>IF(Crowdfunding!G329="failed","failed","")</f>
        <v>failed</v>
      </c>
      <c r="D329">
        <f>IF(Crowdfunding!G329="failed",Crowdfunding!H329,0)</f>
        <v>33</v>
      </c>
    </row>
    <row r="330" spans="1:4" x14ac:dyDescent="0.25">
      <c r="A330" t="str">
        <f>IF(Crowdfunding!G330="successful","successful","")</f>
        <v>successful</v>
      </c>
      <c r="B330">
        <f>IF(Crowdfunding!G330="successful",Crowdfunding!H330,0)</f>
        <v>2441</v>
      </c>
      <c r="C330" t="str">
        <f>IF(Crowdfunding!G330="failed","failed","")</f>
        <v/>
      </c>
      <c r="D330">
        <f>IF(Crowdfunding!G330="failed",Crowdfunding!H330,0)</f>
        <v>0</v>
      </c>
    </row>
    <row r="331" spans="1:4" x14ac:dyDescent="0.25">
      <c r="A331" t="str">
        <f>IF(Crowdfunding!G331="successful","successful","")</f>
        <v/>
      </c>
      <c r="B331">
        <f>IF(Crowdfunding!G331="successful",Crowdfunding!H331,0)</f>
        <v>0</v>
      </c>
      <c r="C331" t="str">
        <f>IF(Crowdfunding!G331="failed","failed","")</f>
        <v/>
      </c>
      <c r="D331">
        <f>IF(Crowdfunding!G331="failed",Crowdfunding!H331,0)</f>
        <v>0</v>
      </c>
    </row>
    <row r="332" spans="1:4" x14ac:dyDescent="0.25">
      <c r="A332" t="str">
        <f>IF(Crowdfunding!G332="successful","successful","")</f>
        <v>successful</v>
      </c>
      <c r="B332">
        <f>IF(Crowdfunding!G332="successful",Crowdfunding!H332,0)</f>
        <v>1385</v>
      </c>
      <c r="C332" t="str">
        <f>IF(Crowdfunding!G332="failed","failed","")</f>
        <v/>
      </c>
      <c r="D332">
        <f>IF(Crowdfunding!G332="failed",Crowdfunding!H332,0)</f>
        <v>0</v>
      </c>
    </row>
    <row r="333" spans="1:4" x14ac:dyDescent="0.25">
      <c r="A333" t="str">
        <f>IF(Crowdfunding!G333="successful","successful","")</f>
        <v>successful</v>
      </c>
      <c r="B333">
        <f>IF(Crowdfunding!G333="successful",Crowdfunding!H333,0)</f>
        <v>190</v>
      </c>
      <c r="C333" t="str">
        <f>IF(Crowdfunding!G333="failed","failed","")</f>
        <v/>
      </c>
      <c r="D333">
        <f>IF(Crowdfunding!G333="failed",Crowdfunding!H333,0)</f>
        <v>0</v>
      </c>
    </row>
    <row r="334" spans="1:4" x14ac:dyDescent="0.25">
      <c r="A334" t="str">
        <f>IF(Crowdfunding!G334="successful","successful","")</f>
        <v>successful</v>
      </c>
      <c r="B334">
        <f>IF(Crowdfunding!G334="successful",Crowdfunding!H334,0)</f>
        <v>470</v>
      </c>
      <c r="C334" t="str">
        <f>IF(Crowdfunding!G334="failed","failed","")</f>
        <v/>
      </c>
      <c r="D334">
        <f>IF(Crowdfunding!G334="failed",Crowdfunding!H334,0)</f>
        <v>0</v>
      </c>
    </row>
    <row r="335" spans="1:4" x14ac:dyDescent="0.25">
      <c r="A335" t="str">
        <f>IF(Crowdfunding!G335="successful","successful","")</f>
        <v>successful</v>
      </c>
      <c r="B335">
        <f>IF(Crowdfunding!G335="successful",Crowdfunding!H335,0)</f>
        <v>253</v>
      </c>
      <c r="C335" t="str">
        <f>IF(Crowdfunding!G335="failed","failed","")</f>
        <v/>
      </c>
      <c r="D335">
        <f>IF(Crowdfunding!G335="failed",Crowdfunding!H335,0)</f>
        <v>0</v>
      </c>
    </row>
    <row r="336" spans="1:4" x14ac:dyDescent="0.25">
      <c r="A336" t="str">
        <f>IF(Crowdfunding!G336="successful","successful","")</f>
        <v>successful</v>
      </c>
      <c r="B336">
        <f>IF(Crowdfunding!G336="successful",Crowdfunding!H336,0)</f>
        <v>1113</v>
      </c>
      <c r="C336" t="str">
        <f>IF(Crowdfunding!G336="failed","failed","")</f>
        <v/>
      </c>
      <c r="D336">
        <f>IF(Crowdfunding!G336="failed",Crowdfunding!H336,0)</f>
        <v>0</v>
      </c>
    </row>
    <row r="337" spans="1:4" x14ac:dyDescent="0.25">
      <c r="A337" t="str">
        <f>IF(Crowdfunding!G337="successful","successful","")</f>
        <v>successful</v>
      </c>
      <c r="B337">
        <f>IF(Crowdfunding!G337="successful",Crowdfunding!H337,0)</f>
        <v>2283</v>
      </c>
      <c r="C337" t="str">
        <f>IF(Crowdfunding!G337="failed","failed","")</f>
        <v/>
      </c>
      <c r="D337">
        <f>IF(Crowdfunding!G337="failed",Crowdfunding!H337,0)</f>
        <v>0</v>
      </c>
    </row>
    <row r="338" spans="1:4" x14ac:dyDescent="0.25">
      <c r="A338" t="str">
        <f>IF(Crowdfunding!G338="successful","successful","")</f>
        <v/>
      </c>
      <c r="B338">
        <f>IF(Crowdfunding!G338="successful",Crowdfunding!H338,0)</f>
        <v>0</v>
      </c>
      <c r="C338" t="str">
        <f>IF(Crowdfunding!G338="failed","failed","")</f>
        <v>failed</v>
      </c>
      <c r="D338">
        <f>IF(Crowdfunding!G338="failed",Crowdfunding!H338,0)</f>
        <v>1072</v>
      </c>
    </row>
    <row r="339" spans="1:4" x14ac:dyDescent="0.25">
      <c r="A339" t="str">
        <f>IF(Crowdfunding!G339="successful","successful","")</f>
        <v>successful</v>
      </c>
      <c r="B339">
        <f>IF(Crowdfunding!G339="successful",Crowdfunding!H339,0)</f>
        <v>1095</v>
      </c>
      <c r="C339" t="str">
        <f>IF(Crowdfunding!G339="failed","failed","")</f>
        <v/>
      </c>
      <c r="D339">
        <f>IF(Crowdfunding!G339="failed",Crowdfunding!H339,0)</f>
        <v>0</v>
      </c>
    </row>
    <row r="340" spans="1:4" x14ac:dyDescent="0.25">
      <c r="A340" t="str">
        <f>IF(Crowdfunding!G340="successful","successful","")</f>
        <v>successful</v>
      </c>
      <c r="B340">
        <f>IF(Crowdfunding!G340="successful",Crowdfunding!H340,0)</f>
        <v>1690</v>
      </c>
      <c r="C340" t="str">
        <f>IF(Crowdfunding!G340="failed","failed","")</f>
        <v/>
      </c>
      <c r="D340">
        <f>IF(Crowdfunding!G340="failed",Crowdfunding!H340,0)</f>
        <v>0</v>
      </c>
    </row>
    <row r="341" spans="1:4" x14ac:dyDescent="0.25">
      <c r="A341" t="str">
        <f>IF(Crowdfunding!G341="successful","successful","")</f>
        <v/>
      </c>
      <c r="B341">
        <f>IF(Crowdfunding!G341="successful",Crowdfunding!H341,0)</f>
        <v>0</v>
      </c>
      <c r="C341" t="str">
        <f>IF(Crowdfunding!G341="failed","failed","")</f>
        <v/>
      </c>
      <c r="D341">
        <f>IF(Crowdfunding!G341="failed",Crowdfunding!H341,0)</f>
        <v>0</v>
      </c>
    </row>
    <row r="342" spans="1:4" x14ac:dyDescent="0.25">
      <c r="A342" t="str">
        <f>IF(Crowdfunding!G342="successful","successful","")</f>
        <v/>
      </c>
      <c r="B342">
        <f>IF(Crowdfunding!G342="successful",Crowdfunding!H342,0)</f>
        <v>0</v>
      </c>
      <c r="C342" t="str">
        <f>IF(Crowdfunding!G342="failed","failed","")</f>
        <v>failed</v>
      </c>
      <c r="D342">
        <f>IF(Crowdfunding!G342="failed",Crowdfunding!H342,0)</f>
        <v>393</v>
      </c>
    </row>
    <row r="343" spans="1:4" x14ac:dyDescent="0.25">
      <c r="A343" t="str">
        <f>IF(Crowdfunding!G343="successful","successful","")</f>
        <v/>
      </c>
      <c r="B343">
        <f>IF(Crowdfunding!G343="successful",Crowdfunding!H343,0)</f>
        <v>0</v>
      </c>
      <c r="C343" t="str">
        <f>IF(Crowdfunding!G343="failed","failed","")</f>
        <v>failed</v>
      </c>
      <c r="D343">
        <f>IF(Crowdfunding!G343="failed",Crowdfunding!H343,0)</f>
        <v>1257</v>
      </c>
    </row>
    <row r="344" spans="1:4" x14ac:dyDescent="0.25">
      <c r="A344" t="str">
        <f>IF(Crowdfunding!G344="successful","successful","")</f>
        <v/>
      </c>
      <c r="B344">
        <f>IF(Crowdfunding!G344="successful",Crowdfunding!H344,0)</f>
        <v>0</v>
      </c>
      <c r="C344" t="str">
        <f>IF(Crowdfunding!G344="failed","failed","")</f>
        <v>failed</v>
      </c>
      <c r="D344">
        <f>IF(Crowdfunding!G344="failed",Crowdfunding!H344,0)</f>
        <v>328</v>
      </c>
    </row>
    <row r="345" spans="1:4" x14ac:dyDescent="0.25">
      <c r="A345" t="str">
        <f>IF(Crowdfunding!G345="successful","successful","")</f>
        <v/>
      </c>
      <c r="B345">
        <f>IF(Crowdfunding!G345="successful",Crowdfunding!H345,0)</f>
        <v>0</v>
      </c>
      <c r="C345" t="str">
        <f>IF(Crowdfunding!G345="failed","failed","")</f>
        <v>failed</v>
      </c>
      <c r="D345">
        <f>IF(Crowdfunding!G345="failed",Crowdfunding!H345,0)</f>
        <v>147</v>
      </c>
    </row>
    <row r="346" spans="1:4" x14ac:dyDescent="0.25">
      <c r="A346" t="str">
        <f>IF(Crowdfunding!G346="successful","successful","")</f>
        <v/>
      </c>
      <c r="B346">
        <f>IF(Crowdfunding!G346="successful",Crowdfunding!H346,0)</f>
        <v>0</v>
      </c>
      <c r="C346" t="str">
        <f>IF(Crowdfunding!G346="failed","failed","")</f>
        <v>failed</v>
      </c>
      <c r="D346">
        <f>IF(Crowdfunding!G346="failed",Crowdfunding!H346,0)</f>
        <v>830</v>
      </c>
    </row>
    <row r="347" spans="1:4" x14ac:dyDescent="0.25">
      <c r="A347" t="str">
        <f>IF(Crowdfunding!G347="successful","successful","")</f>
        <v/>
      </c>
      <c r="B347">
        <f>IF(Crowdfunding!G347="successful",Crowdfunding!H347,0)</f>
        <v>0</v>
      </c>
      <c r="C347" t="str">
        <f>IF(Crowdfunding!G347="failed","failed","")</f>
        <v>failed</v>
      </c>
      <c r="D347">
        <f>IF(Crowdfunding!G347="failed",Crowdfunding!H347,0)</f>
        <v>331</v>
      </c>
    </row>
    <row r="348" spans="1:4" x14ac:dyDescent="0.25">
      <c r="A348" t="str">
        <f>IF(Crowdfunding!G348="successful","successful","")</f>
        <v/>
      </c>
      <c r="B348">
        <f>IF(Crowdfunding!G348="successful",Crowdfunding!H348,0)</f>
        <v>0</v>
      </c>
      <c r="C348" t="str">
        <f>IF(Crowdfunding!G348="failed","failed","")</f>
        <v>failed</v>
      </c>
      <c r="D348">
        <f>IF(Crowdfunding!G348="failed",Crowdfunding!H348,0)</f>
        <v>25</v>
      </c>
    </row>
    <row r="349" spans="1:4" x14ac:dyDescent="0.25">
      <c r="A349" t="str">
        <f>IF(Crowdfunding!G349="successful","successful","")</f>
        <v>successful</v>
      </c>
      <c r="B349">
        <f>IF(Crowdfunding!G349="successful",Crowdfunding!H349,0)</f>
        <v>191</v>
      </c>
      <c r="C349" t="str">
        <f>IF(Crowdfunding!G349="failed","failed","")</f>
        <v/>
      </c>
      <c r="D349">
        <f>IF(Crowdfunding!G349="failed",Crowdfunding!H349,0)</f>
        <v>0</v>
      </c>
    </row>
    <row r="350" spans="1:4" x14ac:dyDescent="0.25">
      <c r="A350" t="str">
        <f>IF(Crowdfunding!G350="successful","successful","")</f>
        <v/>
      </c>
      <c r="B350">
        <f>IF(Crowdfunding!G350="successful",Crowdfunding!H350,0)</f>
        <v>0</v>
      </c>
      <c r="C350" t="str">
        <f>IF(Crowdfunding!G350="failed","failed","")</f>
        <v>failed</v>
      </c>
      <c r="D350">
        <f>IF(Crowdfunding!G350="failed",Crowdfunding!H350,0)</f>
        <v>3483</v>
      </c>
    </row>
    <row r="351" spans="1:4" x14ac:dyDescent="0.25">
      <c r="A351" t="str">
        <f>IF(Crowdfunding!G351="successful","successful","")</f>
        <v/>
      </c>
      <c r="B351">
        <f>IF(Crowdfunding!G351="successful",Crowdfunding!H351,0)</f>
        <v>0</v>
      </c>
      <c r="C351" t="str">
        <f>IF(Crowdfunding!G351="failed","failed","")</f>
        <v>failed</v>
      </c>
      <c r="D351">
        <f>IF(Crowdfunding!G351="failed",Crowdfunding!H351,0)</f>
        <v>923</v>
      </c>
    </row>
    <row r="352" spans="1:4" x14ac:dyDescent="0.25">
      <c r="A352" t="str">
        <f>IF(Crowdfunding!G352="successful","successful","")</f>
        <v/>
      </c>
      <c r="B352">
        <f>IF(Crowdfunding!G352="successful",Crowdfunding!H352,0)</f>
        <v>0</v>
      </c>
      <c r="C352" t="str">
        <f>IF(Crowdfunding!G352="failed","failed","")</f>
        <v>failed</v>
      </c>
      <c r="D352">
        <f>IF(Crowdfunding!G352="failed",Crowdfunding!H352,0)</f>
        <v>1</v>
      </c>
    </row>
    <row r="353" spans="1:4" x14ac:dyDescent="0.25">
      <c r="A353" t="str">
        <f>IF(Crowdfunding!G353="successful","successful","")</f>
        <v>successful</v>
      </c>
      <c r="B353">
        <f>IF(Crowdfunding!G353="successful",Crowdfunding!H353,0)</f>
        <v>2013</v>
      </c>
      <c r="C353" t="str">
        <f>IF(Crowdfunding!G353="failed","failed","")</f>
        <v/>
      </c>
      <c r="D353">
        <f>IF(Crowdfunding!G353="failed",Crowdfunding!H353,0)</f>
        <v>0</v>
      </c>
    </row>
    <row r="354" spans="1:4" x14ac:dyDescent="0.25">
      <c r="A354" t="str">
        <f>IF(Crowdfunding!G354="successful","successful","")</f>
        <v/>
      </c>
      <c r="B354">
        <f>IF(Crowdfunding!G354="successful",Crowdfunding!H354,0)</f>
        <v>0</v>
      </c>
      <c r="C354" t="str">
        <f>IF(Crowdfunding!G354="failed","failed","")</f>
        <v>failed</v>
      </c>
      <c r="D354">
        <f>IF(Crowdfunding!G354="failed",Crowdfunding!H354,0)</f>
        <v>33</v>
      </c>
    </row>
    <row r="355" spans="1:4" x14ac:dyDescent="0.25">
      <c r="A355" t="str">
        <f>IF(Crowdfunding!G355="successful","successful","")</f>
        <v>successful</v>
      </c>
      <c r="B355">
        <f>IF(Crowdfunding!G355="successful",Crowdfunding!H355,0)</f>
        <v>1703</v>
      </c>
      <c r="C355" t="str">
        <f>IF(Crowdfunding!G355="failed","failed","")</f>
        <v/>
      </c>
      <c r="D355">
        <f>IF(Crowdfunding!G355="failed",Crowdfunding!H355,0)</f>
        <v>0</v>
      </c>
    </row>
    <row r="356" spans="1:4" x14ac:dyDescent="0.25">
      <c r="A356" t="str">
        <f>IF(Crowdfunding!G356="successful","successful","")</f>
        <v>successful</v>
      </c>
      <c r="B356">
        <f>IF(Crowdfunding!G356="successful",Crowdfunding!H356,0)</f>
        <v>80</v>
      </c>
      <c r="C356" t="str">
        <f>IF(Crowdfunding!G356="failed","failed","")</f>
        <v/>
      </c>
      <c r="D356">
        <f>IF(Crowdfunding!G356="failed",Crowdfunding!H356,0)</f>
        <v>0</v>
      </c>
    </row>
    <row r="357" spans="1:4" x14ac:dyDescent="0.25">
      <c r="A357" t="str">
        <f>IF(Crowdfunding!G357="successful","successful","")</f>
        <v/>
      </c>
      <c r="B357">
        <f>IF(Crowdfunding!G357="successful",Crowdfunding!H357,0)</f>
        <v>0</v>
      </c>
      <c r="C357" t="str">
        <f>IF(Crowdfunding!G357="failed","failed","")</f>
        <v/>
      </c>
      <c r="D357">
        <f>IF(Crowdfunding!G357="failed",Crowdfunding!H357,0)</f>
        <v>0</v>
      </c>
    </row>
    <row r="358" spans="1:4" x14ac:dyDescent="0.25">
      <c r="A358" t="str">
        <f>IF(Crowdfunding!G358="successful","successful","")</f>
        <v/>
      </c>
      <c r="B358">
        <f>IF(Crowdfunding!G358="successful",Crowdfunding!H358,0)</f>
        <v>0</v>
      </c>
      <c r="C358" t="str">
        <f>IF(Crowdfunding!G358="failed","failed","")</f>
        <v>failed</v>
      </c>
      <c r="D358">
        <f>IF(Crowdfunding!G358="failed",Crowdfunding!H358,0)</f>
        <v>40</v>
      </c>
    </row>
    <row r="359" spans="1:4" x14ac:dyDescent="0.25">
      <c r="A359" t="str">
        <f>IF(Crowdfunding!G359="successful","successful","")</f>
        <v>successful</v>
      </c>
      <c r="B359">
        <f>IF(Crowdfunding!G359="successful",Crowdfunding!H359,0)</f>
        <v>41</v>
      </c>
      <c r="C359" t="str">
        <f>IF(Crowdfunding!G359="failed","failed","")</f>
        <v/>
      </c>
      <c r="D359">
        <f>IF(Crowdfunding!G359="failed",Crowdfunding!H359,0)</f>
        <v>0</v>
      </c>
    </row>
    <row r="360" spans="1:4" x14ac:dyDescent="0.25">
      <c r="A360" t="str">
        <f>IF(Crowdfunding!G360="successful","successful","")</f>
        <v/>
      </c>
      <c r="B360">
        <f>IF(Crowdfunding!G360="successful",Crowdfunding!H360,0)</f>
        <v>0</v>
      </c>
      <c r="C360" t="str">
        <f>IF(Crowdfunding!G360="failed","failed","")</f>
        <v>failed</v>
      </c>
      <c r="D360">
        <f>IF(Crowdfunding!G360="failed",Crowdfunding!H360,0)</f>
        <v>23</v>
      </c>
    </row>
    <row r="361" spans="1:4" x14ac:dyDescent="0.25">
      <c r="A361" t="str">
        <f>IF(Crowdfunding!G361="successful","successful","")</f>
        <v>successful</v>
      </c>
      <c r="B361">
        <f>IF(Crowdfunding!G361="successful",Crowdfunding!H361,0)</f>
        <v>187</v>
      </c>
      <c r="C361" t="str">
        <f>IF(Crowdfunding!G361="failed","failed","")</f>
        <v/>
      </c>
      <c r="D361">
        <f>IF(Crowdfunding!G361="failed",Crowdfunding!H361,0)</f>
        <v>0</v>
      </c>
    </row>
    <row r="362" spans="1:4" x14ac:dyDescent="0.25">
      <c r="A362" t="str">
        <f>IF(Crowdfunding!G362="successful","successful","")</f>
        <v>successful</v>
      </c>
      <c r="B362">
        <f>IF(Crowdfunding!G362="successful",Crowdfunding!H362,0)</f>
        <v>2875</v>
      </c>
      <c r="C362" t="str">
        <f>IF(Crowdfunding!G362="failed","failed","")</f>
        <v/>
      </c>
      <c r="D362">
        <f>IF(Crowdfunding!G362="failed",Crowdfunding!H362,0)</f>
        <v>0</v>
      </c>
    </row>
    <row r="363" spans="1:4" x14ac:dyDescent="0.25">
      <c r="A363" t="str">
        <f>IF(Crowdfunding!G363="successful","successful","")</f>
        <v>successful</v>
      </c>
      <c r="B363">
        <f>IF(Crowdfunding!G363="successful",Crowdfunding!H363,0)</f>
        <v>88</v>
      </c>
      <c r="C363" t="str">
        <f>IF(Crowdfunding!G363="failed","failed","")</f>
        <v/>
      </c>
      <c r="D363">
        <f>IF(Crowdfunding!G363="failed",Crowdfunding!H363,0)</f>
        <v>0</v>
      </c>
    </row>
    <row r="364" spans="1:4" x14ac:dyDescent="0.25">
      <c r="A364" t="str">
        <f>IF(Crowdfunding!G364="successful","successful","")</f>
        <v>successful</v>
      </c>
      <c r="B364">
        <f>IF(Crowdfunding!G364="successful",Crowdfunding!H364,0)</f>
        <v>191</v>
      </c>
      <c r="C364" t="str">
        <f>IF(Crowdfunding!G364="failed","failed","")</f>
        <v/>
      </c>
      <c r="D364">
        <f>IF(Crowdfunding!G364="failed",Crowdfunding!H364,0)</f>
        <v>0</v>
      </c>
    </row>
    <row r="365" spans="1:4" x14ac:dyDescent="0.25">
      <c r="A365" t="str">
        <f>IF(Crowdfunding!G365="successful","successful","")</f>
        <v>successful</v>
      </c>
      <c r="B365">
        <f>IF(Crowdfunding!G365="successful",Crowdfunding!H365,0)</f>
        <v>139</v>
      </c>
      <c r="C365" t="str">
        <f>IF(Crowdfunding!G365="failed","failed","")</f>
        <v/>
      </c>
      <c r="D365">
        <f>IF(Crowdfunding!G365="failed",Crowdfunding!H365,0)</f>
        <v>0</v>
      </c>
    </row>
    <row r="366" spans="1:4" x14ac:dyDescent="0.25">
      <c r="A366" t="str">
        <f>IF(Crowdfunding!G366="successful","successful","")</f>
        <v>successful</v>
      </c>
      <c r="B366">
        <f>IF(Crowdfunding!G366="successful",Crowdfunding!H366,0)</f>
        <v>186</v>
      </c>
      <c r="C366" t="str">
        <f>IF(Crowdfunding!G366="failed","failed","")</f>
        <v/>
      </c>
      <c r="D366">
        <f>IF(Crowdfunding!G366="failed",Crowdfunding!H366,0)</f>
        <v>0</v>
      </c>
    </row>
    <row r="367" spans="1:4" x14ac:dyDescent="0.25">
      <c r="A367" t="str">
        <f>IF(Crowdfunding!G367="successful","successful","")</f>
        <v>successful</v>
      </c>
      <c r="B367">
        <f>IF(Crowdfunding!G367="successful",Crowdfunding!H367,0)</f>
        <v>112</v>
      </c>
      <c r="C367" t="str">
        <f>IF(Crowdfunding!G367="failed","failed","")</f>
        <v/>
      </c>
      <c r="D367">
        <f>IF(Crowdfunding!G367="failed",Crowdfunding!H367,0)</f>
        <v>0</v>
      </c>
    </row>
    <row r="368" spans="1:4" x14ac:dyDescent="0.25">
      <c r="A368" t="str">
        <f>IF(Crowdfunding!G368="successful","successful","")</f>
        <v>successful</v>
      </c>
      <c r="B368">
        <f>IF(Crowdfunding!G368="successful",Crowdfunding!H368,0)</f>
        <v>101</v>
      </c>
      <c r="C368" t="str">
        <f>IF(Crowdfunding!G368="failed","failed","")</f>
        <v/>
      </c>
      <c r="D368">
        <f>IF(Crowdfunding!G368="failed",Crowdfunding!H368,0)</f>
        <v>0</v>
      </c>
    </row>
    <row r="369" spans="1:4" x14ac:dyDescent="0.25">
      <c r="A369" t="str">
        <f>IF(Crowdfunding!G369="successful","successful","")</f>
        <v/>
      </c>
      <c r="B369">
        <f>IF(Crowdfunding!G369="successful",Crowdfunding!H369,0)</f>
        <v>0</v>
      </c>
      <c r="C369" t="str">
        <f>IF(Crowdfunding!G369="failed","failed","")</f>
        <v>failed</v>
      </c>
      <c r="D369">
        <f>IF(Crowdfunding!G369="failed",Crowdfunding!H369,0)</f>
        <v>75</v>
      </c>
    </row>
    <row r="370" spans="1:4" x14ac:dyDescent="0.25">
      <c r="A370" t="str">
        <f>IF(Crowdfunding!G370="successful","successful","")</f>
        <v>successful</v>
      </c>
      <c r="B370">
        <f>IF(Crowdfunding!G370="successful",Crowdfunding!H370,0)</f>
        <v>206</v>
      </c>
      <c r="C370" t="str">
        <f>IF(Crowdfunding!G370="failed","failed","")</f>
        <v/>
      </c>
      <c r="D370">
        <f>IF(Crowdfunding!G370="failed",Crowdfunding!H370,0)</f>
        <v>0</v>
      </c>
    </row>
    <row r="371" spans="1:4" x14ac:dyDescent="0.25">
      <c r="A371" t="str">
        <f>IF(Crowdfunding!G371="successful","successful","")</f>
        <v>successful</v>
      </c>
      <c r="B371">
        <f>IF(Crowdfunding!G371="successful",Crowdfunding!H371,0)</f>
        <v>154</v>
      </c>
      <c r="C371" t="str">
        <f>IF(Crowdfunding!G371="failed","failed","")</f>
        <v/>
      </c>
      <c r="D371">
        <f>IF(Crowdfunding!G371="failed",Crowdfunding!H371,0)</f>
        <v>0</v>
      </c>
    </row>
    <row r="372" spans="1:4" x14ac:dyDescent="0.25">
      <c r="A372" t="str">
        <f>IF(Crowdfunding!G372="successful","successful","")</f>
        <v>successful</v>
      </c>
      <c r="B372">
        <f>IF(Crowdfunding!G372="successful",Crowdfunding!H372,0)</f>
        <v>5966</v>
      </c>
      <c r="C372" t="str">
        <f>IF(Crowdfunding!G372="failed","failed","")</f>
        <v/>
      </c>
      <c r="D372">
        <f>IF(Crowdfunding!G372="failed",Crowdfunding!H372,0)</f>
        <v>0</v>
      </c>
    </row>
    <row r="373" spans="1:4" x14ac:dyDescent="0.25">
      <c r="A373" t="str">
        <f>IF(Crowdfunding!G373="successful","successful","")</f>
        <v/>
      </c>
      <c r="B373">
        <f>IF(Crowdfunding!G373="successful",Crowdfunding!H373,0)</f>
        <v>0</v>
      </c>
      <c r="C373" t="str">
        <f>IF(Crowdfunding!G373="failed","failed","")</f>
        <v>failed</v>
      </c>
      <c r="D373">
        <f>IF(Crowdfunding!G373="failed",Crowdfunding!H373,0)</f>
        <v>2176</v>
      </c>
    </row>
    <row r="374" spans="1:4" x14ac:dyDescent="0.25">
      <c r="A374" t="str">
        <f>IF(Crowdfunding!G374="successful","successful","")</f>
        <v>successful</v>
      </c>
      <c r="B374">
        <f>IF(Crowdfunding!G374="successful",Crowdfunding!H374,0)</f>
        <v>169</v>
      </c>
      <c r="C374" t="str">
        <f>IF(Crowdfunding!G374="failed","failed","")</f>
        <v/>
      </c>
      <c r="D374">
        <f>IF(Crowdfunding!G374="failed",Crowdfunding!H374,0)</f>
        <v>0</v>
      </c>
    </row>
    <row r="375" spans="1:4" x14ac:dyDescent="0.25">
      <c r="A375" t="str">
        <f>IF(Crowdfunding!G375="successful","successful","")</f>
        <v>successful</v>
      </c>
      <c r="B375">
        <f>IF(Crowdfunding!G375="successful",Crowdfunding!H375,0)</f>
        <v>2106</v>
      </c>
      <c r="C375" t="str">
        <f>IF(Crowdfunding!G375="failed","failed","")</f>
        <v/>
      </c>
      <c r="D375">
        <f>IF(Crowdfunding!G375="failed",Crowdfunding!H375,0)</f>
        <v>0</v>
      </c>
    </row>
    <row r="376" spans="1:4" x14ac:dyDescent="0.25">
      <c r="A376" t="str">
        <f>IF(Crowdfunding!G376="successful","successful","")</f>
        <v/>
      </c>
      <c r="B376">
        <f>IF(Crowdfunding!G376="successful",Crowdfunding!H376,0)</f>
        <v>0</v>
      </c>
      <c r="C376" t="str">
        <f>IF(Crowdfunding!G376="failed","failed","")</f>
        <v>failed</v>
      </c>
      <c r="D376">
        <f>IF(Crowdfunding!G376="failed",Crowdfunding!H376,0)</f>
        <v>441</v>
      </c>
    </row>
    <row r="377" spans="1:4" x14ac:dyDescent="0.25">
      <c r="A377" t="str">
        <f>IF(Crowdfunding!G377="successful","successful","")</f>
        <v/>
      </c>
      <c r="B377">
        <f>IF(Crowdfunding!G377="successful",Crowdfunding!H377,0)</f>
        <v>0</v>
      </c>
      <c r="C377" t="str">
        <f>IF(Crowdfunding!G377="failed","failed","")</f>
        <v>failed</v>
      </c>
      <c r="D377">
        <f>IF(Crowdfunding!G377="failed",Crowdfunding!H377,0)</f>
        <v>25</v>
      </c>
    </row>
    <row r="378" spans="1:4" x14ac:dyDescent="0.25">
      <c r="A378" t="str">
        <f>IF(Crowdfunding!G378="successful","successful","")</f>
        <v>successful</v>
      </c>
      <c r="B378">
        <f>IF(Crowdfunding!G378="successful",Crowdfunding!H378,0)</f>
        <v>131</v>
      </c>
      <c r="C378" t="str">
        <f>IF(Crowdfunding!G378="failed","failed","")</f>
        <v/>
      </c>
      <c r="D378">
        <f>IF(Crowdfunding!G378="failed",Crowdfunding!H378,0)</f>
        <v>0</v>
      </c>
    </row>
    <row r="379" spans="1:4" x14ac:dyDescent="0.25">
      <c r="A379" t="str">
        <f>IF(Crowdfunding!G379="successful","successful","")</f>
        <v/>
      </c>
      <c r="B379">
        <f>IF(Crowdfunding!G379="successful",Crowdfunding!H379,0)</f>
        <v>0</v>
      </c>
      <c r="C379" t="str">
        <f>IF(Crowdfunding!G379="failed","failed","")</f>
        <v>failed</v>
      </c>
      <c r="D379">
        <f>IF(Crowdfunding!G379="failed",Crowdfunding!H379,0)</f>
        <v>127</v>
      </c>
    </row>
    <row r="380" spans="1:4" x14ac:dyDescent="0.25">
      <c r="A380" t="str">
        <f>IF(Crowdfunding!G380="successful","successful","")</f>
        <v/>
      </c>
      <c r="B380">
        <f>IF(Crowdfunding!G380="successful",Crowdfunding!H380,0)</f>
        <v>0</v>
      </c>
      <c r="C380" t="str">
        <f>IF(Crowdfunding!G380="failed","failed","")</f>
        <v>failed</v>
      </c>
      <c r="D380">
        <f>IF(Crowdfunding!G380="failed",Crowdfunding!H380,0)</f>
        <v>355</v>
      </c>
    </row>
    <row r="381" spans="1:4" x14ac:dyDescent="0.25">
      <c r="A381" t="str">
        <f>IF(Crowdfunding!G381="successful","successful","")</f>
        <v/>
      </c>
      <c r="B381">
        <f>IF(Crowdfunding!G381="successful",Crowdfunding!H381,0)</f>
        <v>0</v>
      </c>
      <c r="C381" t="str">
        <f>IF(Crowdfunding!G381="failed","failed","")</f>
        <v>failed</v>
      </c>
      <c r="D381">
        <f>IF(Crowdfunding!G381="failed",Crowdfunding!H381,0)</f>
        <v>44</v>
      </c>
    </row>
    <row r="382" spans="1:4" x14ac:dyDescent="0.25">
      <c r="A382" t="str">
        <f>IF(Crowdfunding!G382="successful","successful","")</f>
        <v>successful</v>
      </c>
      <c r="B382">
        <f>IF(Crowdfunding!G382="successful",Crowdfunding!H382,0)</f>
        <v>84</v>
      </c>
      <c r="C382" t="str">
        <f>IF(Crowdfunding!G382="failed","failed","")</f>
        <v/>
      </c>
      <c r="D382">
        <f>IF(Crowdfunding!G382="failed",Crowdfunding!H382,0)</f>
        <v>0</v>
      </c>
    </row>
    <row r="383" spans="1:4" x14ac:dyDescent="0.25">
      <c r="A383" t="str">
        <f>IF(Crowdfunding!G383="successful","successful","")</f>
        <v>successful</v>
      </c>
      <c r="B383">
        <f>IF(Crowdfunding!G383="successful",Crowdfunding!H383,0)</f>
        <v>155</v>
      </c>
      <c r="C383" t="str">
        <f>IF(Crowdfunding!G383="failed","failed","")</f>
        <v/>
      </c>
      <c r="D383">
        <f>IF(Crowdfunding!G383="failed",Crowdfunding!H383,0)</f>
        <v>0</v>
      </c>
    </row>
    <row r="384" spans="1:4" x14ac:dyDescent="0.25">
      <c r="A384" t="str">
        <f>IF(Crowdfunding!G384="successful","successful","")</f>
        <v/>
      </c>
      <c r="B384">
        <f>IF(Crowdfunding!G384="successful",Crowdfunding!H384,0)</f>
        <v>0</v>
      </c>
      <c r="C384" t="str">
        <f>IF(Crowdfunding!G384="failed","failed","")</f>
        <v>failed</v>
      </c>
      <c r="D384">
        <f>IF(Crowdfunding!G384="failed",Crowdfunding!H384,0)</f>
        <v>67</v>
      </c>
    </row>
    <row r="385" spans="1:4" x14ac:dyDescent="0.25">
      <c r="A385" t="str">
        <f>IF(Crowdfunding!G385="successful","successful","")</f>
        <v>successful</v>
      </c>
      <c r="B385">
        <f>IF(Crowdfunding!G385="successful",Crowdfunding!H385,0)</f>
        <v>189</v>
      </c>
      <c r="C385" t="str">
        <f>IF(Crowdfunding!G385="failed","failed","")</f>
        <v/>
      </c>
      <c r="D385">
        <f>IF(Crowdfunding!G385="failed",Crowdfunding!H385,0)</f>
        <v>0</v>
      </c>
    </row>
    <row r="386" spans="1:4" x14ac:dyDescent="0.25">
      <c r="A386" t="str">
        <f>IF(Crowdfunding!G386="successful","successful","")</f>
        <v>successful</v>
      </c>
      <c r="B386">
        <f>IF(Crowdfunding!G386="successful",Crowdfunding!H386,0)</f>
        <v>4799</v>
      </c>
      <c r="C386" t="str">
        <f>IF(Crowdfunding!G386="failed","failed","")</f>
        <v/>
      </c>
      <c r="D386">
        <f>IF(Crowdfunding!G386="failed",Crowdfunding!H386,0)</f>
        <v>0</v>
      </c>
    </row>
    <row r="387" spans="1:4" x14ac:dyDescent="0.25">
      <c r="A387" t="str">
        <f>IF(Crowdfunding!G387="successful","successful","")</f>
        <v>successful</v>
      </c>
      <c r="B387">
        <f>IF(Crowdfunding!G387="successful",Crowdfunding!H387,0)</f>
        <v>1137</v>
      </c>
      <c r="C387" t="str">
        <f>IF(Crowdfunding!G387="failed","failed","")</f>
        <v/>
      </c>
      <c r="D387">
        <f>IF(Crowdfunding!G387="failed",Crowdfunding!H387,0)</f>
        <v>0</v>
      </c>
    </row>
    <row r="388" spans="1:4" x14ac:dyDescent="0.25">
      <c r="A388" t="str">
        <f>IF(Crowdfunding!G388="successful","successful","")</f>
        <v/>
      </c>
      <c r="B388">
        <f>IF(Crowdfunding!G388="successful",Crowdfunding!H388,0)</f>
        <v>0</v>
      </c>
      <c r="C388" t="str">
        <f>IF(Crowdfunding!G388="failed","failed","")</f>
        <v>failed</v>
      </c>
      <c r="D388">
        <f>IF(Crowdfunding!G388="failed",Crowdfunding!H388,0)</f>
        <v>1068</v>
      </c>
    </row>
    <row r="389" spans="1:4" x14ac:dyDescent="0.25">
      <c r="A389" t="str">
        <f>IF(Crowdfunding!G389="successful","successful","")</f>
        <v/>
      </c>
      <c r="B389">
        <f>IF(Crowdfunding!G389="successful",Crowdfunding!H389,0)</f>
        <v>0</v>
      </c>
      <c r="C389" t="str">
        <f>IF(Crowdfunding!G389="failed","failed","")</f>
        <v>failed</v>
      </c>
      <c r="D389">
        <f>IF(Crowdfunding!G389="failed",Crowdfunding!H389,0)</f>
        <v>424</v>
      </c>
    </row>
    <row r="390" spans="1:4" x14ac:dyDescent="0.25">
      <c r="A390" t="str">
        <f>IF(Crowdfunding!G390="successful","successful","")</f>
        <v/>
      </c>
      <c r="B390">
        <f>IF(Crowdfunding!G390="successful",Crowdfunding!H390,0)</f>
        <v>0</v>
      </c>
      <c r="C390" t="str">
        <f>IF(Crowdfunding!G390="failed","failed","")</f>
        <v/>
      </c>
      <c r="D390">
        <f>IF(Crowdfunding!G390="failed",Crowdfunding!H390,0)</f>
        <v>0</v>
      </c>
    </row>
    <row r="391" spans="1:4" x14ac:dyDescent="0.25">
      <c r="A391" t="str">
        <f>IF(Crowdfunding!G391="successful","successful","")</f>
        <v>successful</v>
      </c>
      <c r="B391">
        <f>IF(Crowdfunding!G391="successful",Crowdfunding!H391,0)</f>
        <v>1152</v>
      </c>
      <c r="C391" t="str">
        <f>IF(Crowdfunding!G391="failed","failed","")</f>
        <v/>
      </c>
      <c r="D391">
        <f>IF(Crowdfunding!G391="failed",Crowdfunding!H391,0)</f>
        <v>0</v>
      </c>
    </row>
    <row r="392" spans="1:4" x14ac:dyDescent="0.25">
      <c r="A392" t="str">
        <f>IF(Crowdfunding!G392="successful","successful","")</f>
        <v>successful</v>
      </c>
      <c r="B392">
        <f>IF(Crowdfunding!G392="successful",Crowdfunding!H392,0)</f>
        <v>50</v>
      </c>
      <c r="C392" t="str">
        <f>IF(Crowdfunding!G392="failed","failed","")</f>
        <v/>
      </c>
      <c r="D392">
        <f>IF(Crowdfunding!G392="failed",Crowdfunding!H392,0)</f>
        <v>0</v>
      </c>
    </row>
    <row r="393" spans="1:4" x14ac:dyDescent="0.25">
      <c r="A393" t="str">
        <f>IF(Crowdfunding!G393="successful","successful","")</f>
        <v/>
      </c>
      <c r="B393">
        <f>IF(Crowdfunding!G393="successful",Crowdfunding!H393,0)</f>
        <v>0</v>
      </c>
      <c r="C393" t="str">
        <f>IF(Crowdfunding!G393="failed","failed","")</f>
        <v>failed</v>
      </c>
      <c r="D393">
        <f>IF(Crowdfunding!G393="failed",Crowdfunding!H393,0)</f>
        <v>151</v>
      </c>
    </row>
    <row r="394" spans="1:4" x14ac:dyDescent="0.25">
      <c r="A394" t="str">
        <f>IF(Crowdfunding!G394="successful","successful","")</f>
        <v/>
      </c>
      <c r="B394">
        <f>IF(Crowdfunding!G394="successful",Crowdfunding!H394,0)</f>
        <v>0</v>
      </c>
      <c r="C394" t="str">
        <f>IF(Crowdfunding!G394="failed","failed","")</f>
        <v>failed</v>
      </c>
      <c r="D394">
        <f>IF(Crowdfunding!G394="failed",Crowdfunding!H394,0)</f>
        <v>1608</v>
      </c>
    </row>
    <row r="395" spans="1:4" x14ac:dyDescent="0.25">
      <c r="A395" t="str">
        <f>IF(Crowdfunding!G395="successful","successful","")</f>
        <v>successful</v>
      </c>
      <c r="B395">
        <f>IF(Crowdfunding!G395="successful",Crowdfunding!H395,0)</f>
        <v>3059</v>
      </c>
      <c r="C395" t="str">
        <f>IF(Crowdfunding!G395="failed","failed","")</f>
        <v/>
      </c>
      <c r="D395">
        <f>IF(Crowdfunding!G395="failed",Crowdfunding!H395,0)</f>
        <v>0</v>
      </c>
    </row>
    <row r="396" spans="1:4" x14ac:dyDescent="0.25">
      <c r="A396" t="str">
        <f>IF(Crowdfunding!G396="successful","successful","")</f>
        <v>successful</v>
      </c>
      <c r="B396">
        <f>IF(Crowdfunding!G396="successful",Crowdfunding!H396,0)</f>
        <v>34</v>
      </c>
      <c r="C396" t="str">
        <f>IF(Crowdfunding!G396="failed","failed","")</f>
        <v/>
      </c>
      <c r="D396">
        <f>IF(Crowdfunding!G396="failed",Crowdfunding!H396,0)</f>
        <v>0</v>
      </c>
    </row>
    <row r="397" spans="1:4" x14ac:dyDescent="0.25">
      <c r="A397" t="str">
        <f>IF(Crowdfunding!G397="successful","successful","")</f>
        <v>successful</v>
      </c>
      <c r="B397">
        <f>IF(Crowdfunding!G397="successful",Crowdfunding!H397,0)</f>
        <v>220</v>
      </c>
      <c r="C397" t="str">
        <f>IF(Crowdfunding!G397="failed","failed","")</f>
        <v/>
      </c>
      <c r="D397">
        <f>IF(Crowdfunding!G397="failed",Crowdfunding!H397,0)</f>
        <v>0</v>
      </c>
    </row>
    <row r="398" spans="1:4" x14ac:dyDescent="0.25">
      <c r="A398" t="str">
        <f>IF(Crowdfunding!G398="successful","successful","")</f>
        <v>successful</v>
      </c>
      <c r="B398">
        <f>IF(Crowdfunding!G398="successful",Crowdfunding!H398,0)</f>
        <v>1604</v>
      </c>
      <c r="C398" t="str">
        <f>IF(Crowdfunding!G398="failed","failed","")</f>
        <v/>
      </c>
      <c r="D398">
        <f>IF(Crowdfunding!G398="failed",Crowdfunding!H398,0)</f>
        <v>0</v>
      </c>
    </row>
    <row r="399" spans="1:4" x14ac:dyDescent="0.25">
      <c r="A399" t="str">
        <f>IF(Crowdfunding!G399="successful","successful","")</f>
        <v>successful</v>
      </c>
      <c r="B399">
        <f>IF(Crowdfunding!G399="successful",Crowdfunding!H399,0)</f>
        <v>454</v>
      </c>
      <c r="C399" t="str">
        <f>IF(Crowdfunding!G399="failed","failed","")</f>
        <v/>
      </c>
      <c r="D399">
        <f>IF(Crowdfunding!G399="failed",Crowdfunding!H399,0)</f>
        <v>0</v>
      </c>
    </row>
    <row r="400" spans="1:4" x14ac:dyDescent="0.25">
      <c r="A400" t="str">
        <f>IF(Crowdfunding!G400="successful","successful","")</f>
        <v>successful</v>
      </c>
      <c r="B400">
        <f>IF(Crowdfunding!G400="successful",Crowdfunding!H400,0)</f>
        <v>123</v>
      </c>
      <c r="C400" t="str">
        <f>IF(Crowdfunding!G400="failed","failed","")</f>
        <v/>
      </c>
      <c r="D400">
        <f>IF(Crowdfunding!G400="failed",Crowdfunding!H400,0)</f>
        <v>0</v>
      </c>
    </row>
    <row r="401" spans="1:4" x14ac:dyDescent="0.25">
      <c r="A401" t="str">
        <f>IF(Crowdfunding!G401="successful","successful","")</f>
        <v/>
      </c>
      <c r="B401">
        <f>IF(Crowdfunding!G401="successful",Crowdfunding!H401,0)</f>
        <v>0</v>
      </c>
      <c r="C401" t="str">
        <f>IF(Crowdfunding!G401="failed","failed","")</f>
        <v>failed</v>
      </c>
      <c r="D401">
        <f>IF(Crowdfunding!G401="failed",Crowdfunding!H401,0)</f>
        <v>941</v>
      </c>
    </row>
    <row r="402" spans="1:4" x14ac:dyDescent="0.25">
      <c r="A402" t="str">
        <f>IF(Crowdfunding!G402="successful","successful","")</f>
        <v/>
      </c>
      <c r="B402">
        <f>IF(Crowdfunding!G402="successful",Crowdfunding!H402,0)</f>
        <v>0</v>
      </c>
      <c r="C402" t="str">
        <f>IF(Crowdfunding!G402="failed","failed","")</f>
        <v>failed</v>
      </c>
      <c r="D402">
        <f>IF(Crowdfunding!G402="failed",Crowdfunding!H402,0)</f>
        <v>1</v>
      </c>
    </row>
    <row r="403" spans="1:4" x14ac:dyDescent="0.25">
      <c r="A403" t="str">
        <f>IF(Crowdfunding!G403="successful","successful","")</f>
        <v>successful</v>
      </c>
      <c r="B403">
        <f>IF(Crowdfunding!G403="successful",Crowdfunding!H403,0)</f>
        <v>299</v>
      </c>
      <c r="C403" t="str">
        <f>IF(Crowdfunding!G403="failed","failed","")</f>
        <v/>
      </c>
      <c r="D403">
        <f>IF(Crowdfunding!G403="failed",Crowdfunding!H403,0)</f>
        <v>0</v>
      </c>
    </row>
    <row r="404" spans="1:4" x14ac:dyDescent="0.25">
      <c r="A404" t="str">
        <f>IF(Crowdfunding!G404="successful","successful","")</f>
        <v/>
      </c>
      <c r="B404">
        <f>IF(Crowdfunding!G404="successful",Crowdfunding!H404,0)</f>
        <v>0</v>
      </c>
      <c r="C404" t="str">
        <f>IF(Crowdfunding!G404="failed","failed","")</f>
        <v>failed</v>
      </c>
      <c r="D404">
        <f>IF(Crowdfunding!G404="failed",Crowdfunding!H404,0)</f>
        <v>40</v>
      </c>
    </row>
    <row r="405" spans="1:4" x14ac:dyDescent="0.25">
      <c r="A405" t="str">
        <f>IF(Crowdfunding!G405="successful","successful","")</f>
        <v/>
      </c>
      <c r="B405">
        <f>IF(Crowdfunding!G405="successful",Crowdfunding!H405,0)</f>
        <v>0</v>
      </c>
      <c r="C405" t="str">
        <f>IF(Crowdfunding!G405="failed","failed","")</f>
        <v>failed</v>
      </c>
      <c r="D405">
        <f>IF(Crowdfunding!G405="failed",Crowdfunding!H405,0)</f>
        <v>3015</v>
      </c>
    </row>
    <row r="406" spans="1:4" x14ac:dyDescent="0.25">
      <c r="A406" t="str">
        <f>IF(Crowdfunding!G406="successful","successful","")</f>
        <v>successful</v>
      </c>
      <c r="B406">
        <f>IF(Crowdfunding!G406="successful",Crowdfunding!H406,0)</f>
        <v>2237</v>
      </c>
      <c r="C406" t="str">
        <f>IF(Crowdfunding!G406="failed","failed","")</f>
        <v/>
      </c>
      <c r="D406">
        <f>IF(Crowdfunding!G406="failed",Crowdfunding!H406,0)</f>
        <v>0</v>
      </c>
    </row>
    <row r="407" spans="1:4" x14ac:dyDescent="0.25">
      <c r="A407" t="str">
        <f>IF(Crowdfunding!G407="successful","successful","")</f>
        <v/>
      </c>
      <c r="B407">
        <f>IF(Crowdfunding!G407="successful",Crowdfunding!H407,0)</f>
        <v>0</v>
      </c>
      <c r="C407" t="str">
        <f>IF(Crowdfunding!G407="failed","failed","")</f>
        <v>failed</v>
      </c>
      <c r="D407">
        <f>IF(Crowdfunding!G407="failed",Crowdfunding!H407,0)</f>
        <v>435</v>
      </c>
    </row>
    <row r="408" spans="1:4" x14ac:dyDescent="0.25">
      <c r="A408" t="str">
        <f>IF(Crowdfunding!G408="successful","successful","")</f>
        <v>successful</v>
      </c>
      <c r="B408">
        <f>IF(Crowdfunding!G408="successful",Crowdfunding!H408,0)</f>
        <v>645</v>
      </c>
      <c r="C408" t="str">
        <f>IF(Crowdfunding!G408="failed","failed","")</f>
        <v/>
      </c>
      <c r="D408">
        <f>IF(Crowdfunding!G408="failed",Crowdfunding!H408,0)</f>
        <v>0</v>
      </c>
    </row>
    <row r="409" spans="1:4" x14ac:dyDescent="0.25">
      <c r="A409" t="str">
        <f>IF(Crowdfunding!G409="successful","successful","")</f>
        <v>successful</v>
      </c>
      <c r="B409">
        <f>IF(Crowdfunding!G409="successful",Crowdfunding!H409,0)</f>
        <v>484</v>
      </c>
      <c r="C409" t="str">
        <f>IF(Crowdfunding!G409="failed","failed","")</f>
        <v/>
      </c>
      <c r="D409">
        <f>IF(Crowdfunding!G409="failed",Crowdfunding!H409,0)</f>
        <v>0</v>
      </c>
    </row>
    <row r="410" spans="1:4" x14ac:dyDescent="0.25">
      <c r="A410" t="str">
        <f>IF(Crowdfunding!G410="successful","successful","")</f>
        <v>successful</v>
      </c>
      <c r="B410">
        <f>IF(Crowdfunding!G410="successful",Crowdfunding!H410,0)</f>
        <v>154</v>
      </c>
      <c r="C410" t="str">
        <f>IF(Crowdfunding!G410="failed","failed","")</f>
        <v/>
      </c>
      <c r="D410">
        <f>IF(Crowdfunding!G410="failed",Crowdfunding!H410,0)</f>
        <v>0</v>
      </c>
    </row>
    <row r="411" spans="1:4" x14ac:dyDescent="0.25">
      <c r="A411" t="str">
        <f>IF(Crowdfunding!G411="successful","successful","")</f>
        <v/>
      </c>
      <c r="B411">
        <f>IF(Crowdfunding!G411="successful",Crowdfunding!H411,0)</f>
        <v>0</v>
      </c>
      <c r="C411" t="str">
        <f>IF(Crowdfunding!G411="failed","failed","")</f>
        <v>failed</v>
      </c>
      <c r="D411">
        <f>IF(Crowdfunding!G411="failed",Crowdfunding!H411,0)</f>
        <v>714</v>
      </c>
    </row>
    <row r="412" spans="1:4" x14ac:dyDescent="0.25">
      <c r="A412" t="str">
        <f>IF(Crowdfunding!G412="successful","successful","")</f>
        <v/>
      </c>
      <c r="B412">
        <f>IF(Crowdfunding!G412="successful",Crowdfunding!H412,0)</f>
        <v>0</v>
      </c>
      <c r="C412" t="str">
        <f>IF(Crowdfunding!G412="failed","failed","")</f>
        <v/>
      </c>
      <c r="D412">
        <f>IF(Crowdfunding!G412="failed",Crowdfunding!H412,0)</f>
        <v>0</v>
      </c>
    </row>
    <row r="413" spans="1:4" x14ac:dyDescent="0.25">
      <c r="A413" t="str">
        <f>IF(Crowdfunding!G413="successful","successful","")</f>
        <v>successful</v>
      </c>
      <c r="B413">
        <f>IF(Crowdfunding!G413="successful",Crowdfunding!H413,0)</f>
        <v>82</v>
      </c>
      <c r="C413" t="str">
        <f>IF(Crowdfunding!G413="failed","failed","")</f>
        <v/>
      </c>
      <c r="D413">
        <f>IF(Crowdfunding!G413="failed",Crowdfunding!H413,0)</f>
        <v>0</v>
      </c>
    </row>
    <row r="414" spans="1:4" x14ac:dyDescent="0.25">
      <c r="A414" t="str">
        <f>IF(Crowdfunding!G414="successful","successful","")</f>
        <v>successful</v>
      </c>
      <c r="B414">
        <f>IF(Crowdfunding!G414="successful",Crowdfunding!H414,0)</f>
        <v>134</v>
      </c>
      <c r="C414" t="str">
        <f>IF(Crowdfunding!G414="failed","failed","")</f>
        <v/>
      </c>
      <c r="D414">
        <f>IF(Crowdfunding!G414="failed",Crowdfunding!H414,0)</f>
        <v>0</v>
      </c>
    </row>
    <row r="415" spans="1:4" x14ac:dyDescent="0.25">
      <c r="A415" t="str">
        <f>IF(Crowdfunding!G415="successful","successful","")</f>
        <v/>
      </c>
      <c r="B415">
        <f>IF(Crowdfunding!G415="successful",Crowdfunding!H415,0)</f>
        <v>0</v>
      </c>
      <c r="C415" t="str">
        <f>IF(Crowdfunding!G415="failed","failed","")</f>
        <v/>
      </c>
      <c r="D415">
        <f>IF(Crowdfunding!G415="failed",Crowdfunding!H415,0)</f>
        <v>0</v>
      </c>
    </row>
    <row r="416" spans="1:4" x14ac:dyDescent="0.25">
      <c r="A416" t="str">
        <f>IF(Crowdfunding!G416="successful","successful","")</f>
        <v/>
      </c>
      <c r="B416">
        <f>IF(Crowdfunding!G416="successful",Crowdfunding!H416,0)</f>
        <v>0</v>
      </c>
      <c r="C416" t="str">
        <f>IF(Crowdfunding!G416="failed","failed","")</f>
        <v>failed</v>
      </c>
      <c r="D416">
        <f>IF(Crowdfunding!G416="failed",Crowdfunding!H416,0)</f>
        <v>5497</v>
      </c>
    </row>
    <row r="417" spans="1:4" x14ac:dyDescent="0.25">
      <c r="A417" t="str">
        <f>IF(Crowdfunding!G417="successful","successful","")</f>
        <v/>
      </c>
      <c r="B417">
        <f>IF(Crowdfunding!G417="successful",Crowdfunding!H417,0)</f>
        <v>0</v>
      </c>
      <c r="C417" t="str">
        <f>IF(Crowdfunding!G417="failed","failed","")</f>
        <v>failed</v>
      </c>
      <c r="D417">
        <f>IF(Crowdfunding!G417="failed",Crowdfunding!H417,0)</f>
        <v>418</v>
      </c>
    </row>
    <row r="418" spans="1:4" x14ac:dyDescent="0.25">
      <c r="A418" t="str">
        <f>IF(Crowdfunding!G418="successful","successful","")</f>
        <v/>
      </c>
      <c r="B418">
        <f>IF(Crowdfunding!G418="successful",Crowdfunding!H418,0)</f>
        <v>0</v>
      </c>
      <c r="C418" t="str">
        <f>IF(Crowdfunding!G418="failed","failed","")</f>
        <v>failed</v>
      </c>
      <c r="D418">
        <f>IF(Crowdfunding!G418="failed",Crowdfunding!H418,0)</f>
        <v>1439</v>
      </c>
    </row>
    <row r="419" spans="1:4" x14ac:dyDescent="0.25">
      <c r="A419" t="str">
        <f>IF(Crowdfunding!G419="successful","successful","")</f>
        <v/>
      </c>
      <c r="B419">
        <f>IF(Crowdfunding!G419="successful",Crowdfunding!H419,0)</f>
        <v>0</v>
      </c>
      <c r="C419" t="str">
        <f>IF(Crowdfunding!G419="failed","failed","")</f>
        <v>failed</v>
      </c>
      <c r="D419">
        <f>IF(Crowdfunding!G419="failed",Crowdfunding!H419,0)</f>
        <v>15</v>
      </c>
    </row>
    <row r="420" spans="1:4" x14ac:dyDescent="0.25">
      <c r="A420" t="str">
        <f>IF(Crowdfunding!G420="successful","successful","")</f>
        <v/>
      </c>
      <c r="B420">
        <f>IF(Crowdfunding!G420="successful",Crowdfunding!H420,0)</f>
        <v>0</v>
      </c>
      <c r="C420" t="str">
        <f>IF(Crowdfunding!G420="failed","failed","")</f>
        <v>failed</v>
      </c>
      <c r="D420">
        <f>IF(Crowdfunding!G420="failed",Crowdfunding!H420,0)</f>
        <v>1999</v>
      </c>
    </row>
    <row r="421" spans="1:4" x14ac:dyDescent="0.25">
      <c r="A421" t="str">
        <f>IF(Crowdfunding!G421="successful","successful","")</f>
        <v>successful</v>
      </c>
      <c r="B421">
        <f>IF(Crowdfunding!G421="successful",Crowdfunding!H421,0)</f>
        <v>5203</v>
      </c>
      <c r="C421" t="str">
        <f>IF(Crowdfunding!G421="failed","failed","")</f>
        <v/>
      </c>
      <c r="D421">
        <f>IF(Crowdfunding!G421="failed",Crowdfunding!H421,0)</f>
        <v>0</v>
      </c>
    </row>
    <row r="422" spans="1:4" x14ac:dyDescent="0.25">
      <c r="A422" t="str">
        <f>IF(Crowdfunding!G422="successful","successful","")</f>
        <v>successful</v>
      </c>
      <c r="B422">
        <f>IF(Crowdfunding!G422="successful",Crowdfunding!H422,0)</f>
        <v>94</v>
      </c>
      <c r="C422" t="str">
        <f>IF(Crowdfunding!G422="failed","failed","")</f>
        <v/>
      </c>
      <c r="D422">
        <f>IF(Crowdfunding!G422="failed",Crowdfunding!H422,0)</f>
        <v>0</v>
      </c>
    </row>
    <row r="423" spans="1:4" x14ac:dyDescent="0.25">
      <c r="A423" t="str">
        <f>IF(Crowdfunding!G423="successful","successful","")</f>
        <v/>
      </c>
      <c r="B423">
        <f>IF(Crowdfunding!G423="successful",Crowdfunding!H423,0)</f>
        <v>0</v>
      </c>
      <c r="C423" t="str">
        <f>IF(Crowdfunding!G423="failed","failed","")</f>
        <v>failed</v>
      </c>
      <c r="D423">
        <f>IF(Crowdfunding!G423="failed",Crowdfunding!H423,0)</f>
        <v>118</v>
      </c>
    </row>
    <row r="424" spans="1:4" x14ac:dyDescent="0.25">
      <c r="A424" t="str">
        <f>IF(Crowdfunding!G424="successful","successful","")</f>
        <v>successful</v>
      </c>
      <c r="B424">
        <f>IF(Crowdfunding!G424="successful",Crowdfunding!H424,0)</f>
        <v>205</v>
      </c>
      <c r="C424" t="str">
        <f>IF(Crowdfunding!G424="failed","failed","")</f>
        <v/>
      </c>
      <c r="D424">
        <f>IF(Crowdfunding!G424="failed",Crowdfunding!H424,0)</f>
        <v>0</v>
      </c>
    </row>
    <row r="425" spans="1:4" x14ac:dyDescent="0.25">
      <c r="A425" t="str">
        <f>IF(Crowdfunding!G425="successful","successful","")</f>
        <v/>
      </c>
      <c r="B425">
        <f>IF(Crowdfunding!G425="successful",Crowdfunding!H425,0)</f>
        <v>0</v>
      </c>
      <c r="C425" t="str">
        <f>IF(Crowdfunding!G425="failed","failed","")</f>
        <v>failed</v>
      </c>
      <c r="D425">
        <f>IF(Crowdfunding!G425="failed",Crowdfunding!H425,0)</f>
        <v>162</v>
      </c>
    </row>
    <row r="426" spans="1:4" x14ac:dyDescent="0.25">
      <c r="A426" t="str">
        <f>IF(Crowdfunding!G426="successful","successful","")</f>
        <v/>
      </c>
      <c r="B426">
        <f>IF(Crowdfunding!G426="successful",Crowdfunding!H426,0)</f>
        <v>0</v>
      </c>
      <c r="C426" t="str">
        <f>IF(Crowdfunding!G426="failed","failed","")</f>
        <v>failed</v>
      </c>
      <c r="D426">
        <f>IF(Crowdfunding!G426="failed",Crowdfunding!H426,0)</f>
        <v>83</v>
      </c>
    </row>
    <row r="427" spans="1:4" x14ac:dyDescent="0.25">
      <c r="A427" t="str">
        <f>IF(Crowdfunding!G427="successful","successful","")</f>
        <v>successful</v>
      </c>
      <c r="B427">
        <f>IF(Crowdfunding!G427="successful",Crowdfunding!H427,0)</f>
        <v>92</v>
      </c>
      <c r="C427" t="str">
        <f>IF(Crowdfunding!G427="failed","failed","")</f>
        <v/>
      </c>
      <c r="D427">
        <f>IF(Crowdfunding!G427="failed",Crowdfunding!H427,0)</f>
        <v>0</v>
      </c>
    </row>
    <row r="428" spans="1:4" x14ac:dyDescent="0.25">
      <c r="A428" t="str">
        <f>IF(Crowdfunding!G428="successful","successful","")</f>
        <v>successful</v>
      </c>
      <c r="B428">
        <f>IF(Crowdfunding!G428="successful",Crowdfunding!H428,0)</f>
        <v>219</v>
      </c>
      <c r="C428" t="str">
        <f>IF(Crowdfunding!G428="failed","failed","")</f>
        <v/>
      </c>
      <c r="D428">
        <f>IF(Crowdfunding!G428="failed",Crowdfunding!H428,0)</f>
        <v>0</v>
      </c>
    </row>
    <row r="429" spans="1:4" x14ac:dyDescent="0.25">
      <c r="A429" t="str">
        <f>IF(Crowdfunding!G429="successful","successful","")</f>
        <v>successful</v>
      </c>
      <c r="B429">
        <f>IF(Crowdfunding!G429="successful",Crowdfunding!H429,0)</f>
        <v>2526</v>
      </c>
      <c r="C429" t="str">
        <f>IF(Crowdfunding!G429="failed","failed","")</f>
        <v/>
      </c>
      <c r="D429">
        <f>IF(Crowdfunding!G429="failed",Crowdfunding!H429,0)</f>
        <v>0</v>
      </c>
    </row>
    <row r="430" spans="1:4" x14ac:dyDescent="0.25">
      <c r="A430" t="str">
        <f>IF(Crowdfunding!G430="successful","successful","")</f>
        <v/>
      </c>
      <c r="B430">
        <f>IF(Crowdfunding!G430="successful",Crowdfunding!H430,0)</f>
        <v>0</v>
      </c>
      <c r="C430" t="str">
        <f>IF(Crowdfunding!G430="failed","failed","")</f>
        <v>failed</v>
      </c>
      <c r="D430">
        <f>IF(Crowdfunding!G430="failed",Crowdfunding!H430,0)</f>
        <v>747</v>
      </c>
    </row>
    <row r="431" spans="1:4" x14ac:dyDescent="0.25">
      <c r="A431" t="str">
        <f>IF(Crowdfunding!G431="successful","successful","")</f>
        <v/>
      </c>
      <c r="B431">
        <f>IF(Crowdfunding!G431="successful",Crowdfunding!H431,0)</f>
        <v>0</v>
      </c>
      <c r="C431" t="str">
        <f>IF(Crowdfunding!G431="failed","failed","")</f>
        <v/>
      </c>
      <c r="D431">
        <f>IF(Crowdfunding!G431="failed",Crowdfunding!H431,0)</f>
        <v>0</v>
      </c>
    </row>
    <row r="432" spans="1:4" x14ac:dyDescent="0.25">
      <c r="A432" t="str">
        <f>IF(Crowdfunding!G432="successful","successful","")</f>
        <v/>
      </c>
      <c r="B432">
        <f>IF(Crowdfunding!G432="successful",Crowdfunding!H432,0)</f>
        <v>0</v>
      </c>
      <c r="C432" t="str">
        <f>IF(Crowdfunding!G432="failed","failed","")</f>
        <v>failed</v>
      </c>
      <c r="D432">
        <f>IF(Crowdfunding!G432="failed",Crowdfunding!H432,0)</f>
        <v>84</v>
      </c>
    </row>
    <row r="433" spans="1:4" x14ac:dyDescent="0.25">
      <c r="A433" t="str">
        <f>IF(Crowdfunding!G433="successful","successful","")</f>
        <v>successful</v>
      </c>
      <c r="B433">
        <f>IF(Crowdfunding!G433="successful",Crowdfunding!H433,0)</f>
        <v>94</v>
      </c>
      <c r="C433" t="str">
        <f>IF(Crowdfunding!G433="failed","failed","")</f>
        <v/>
      </c>
      <c r="D433">
        <f>IF(Crowdfunding!G433="failed",Crowdfunding!H433,0)</f>
        <v>0</v>
      </c>
    </row>
    <row r="434" spans="1:4" x14ac:dyDescent="0.25">
      <c r="A434" t="str">
        <f>IF(Crowdfunding!G434="successful","successful","")</f>
        <v/>
      </c>
      <c r="B434">
        <f>IF(Crowdfunding!G434="successful",Crowdfunding!H434,0)</f>
        <v>0</v>
      </c>
      <c r="C434" t="str">
        <f>IF(Crowdfunding!G434="failed","failed","")</f>
        <v>failed</v>
      </c>
      <c r="D434">
        <f>IF(Crowdfunding!G434="failed",Crowdfunding!H434,0)</f>
        <v>91</v>
      </c>
    </row>
    <row r="435" spans="1:4" x14ac:dyDescent="0.25">
      <c r="A435" t="str">
        <f>IF(Crowdfunding!G435="successful","successful","")</f>
        <v/>
      </c>
      <c r="B435">
        <f>IF(Crowdfunding!G435="successful",Crowdfunding!H435,0)</f>
        <v>0</v>
      </c>
      <c r="C435" t="str">
        <f>IF(Crowdfunding!G435="failed","failed","")</f>
        <v>failed</v>
      </c>
      <c r="D435">
        <f>IF(Crowdfunding!G435="failed",Crowdfunding!H435,0)</f>
        <v>792</v>
      </c>
    </row>
    <row r="436" spans="1:4" x14ac:dyDescent="0.25">
      <c r="A436" t="str">
        <f>IF(Crowdfunding!G436="successful","successful","")</f>
        <v/>
      </c>
      <c r="B436">
        <f>IF(Crowdfunding!G436="successful",Crowdfunding!H436,0)</f>
        <v>0</v>
      </c>
      <c r="C436" t="str">
        <f>IF(Crowdfunding!G436="failed","failed","")</f>
        <v/>
      </c>
      <c r="D436">
        <f>IF(Crowdfunding!G436="failed",Crowdfunding!H436,0)</f>
        <v>0</v>
      </c>
    </row>
    <row r="437" spans="1:4" x14ac:dyDescent="0.25">
      <c r="A437" t="str">
        <f>IF(Crowdfunding!G437="successful","successful","")</f>
        <v>successful</v>
      </c>
      <c r="B437">
        <f>IF(Crowdfunding!G437="successful",Crowdfunding!H437,0)</f>
        <v>1713</v>
      </c>
      <c r="C437" t="str">
        <f>IF(Crowdfunding!G437="failed","failed","")</f>
        <v/>
      </c>
      <c r="D437">
        <f>IF(Crowdfunding!G437="failed",Crowdfunding!H437,0)</f>
        <v>0</v>
      </c>
    </row>
    <row r="438" spans="1:4" x14ac:dyDescent="0.25">
      <c r="A438" t="str">
        <f>IF(Crowdfunding!G438="successful","successful","")</f>
        <v>successful</v>
      </c>
      <c r="B438">
        <f>IF(Crowdfunding!G438="successful",Crowdfunding!H438,0)</f>
        <v>249</v>
      </c>
      <c r="C438" t="str">
        <f>IF(Crowdfunding!G438="failed","failed","")</f>
        <v/>
      </c>
      <c r="D438">
        <f>IF(Crowdfunding!G438="failed",Crowdfunding!H438,0)</f>
        <v>0</v>
      </c>
    </row>
    <row r="439" spans="1:4" x14ac:dyDescent="0.25">
      <c r="A439" t="str">
        <f>IF(Crowdfunding!G439="successful","successful","")</f>
        <v>successful</v>
      </c>
      <c r="B439">
        <f>IF(Crowdfunding!G439="successful",Crowdfunding!H439,0)</f>
        <v>192</v>
      </c>
      <c r="C439" t="str">
        <f>IF(Crowdfunding!G439="failed","failed","")</f>
        <v/>
      </c>
      <c r="D439">
        <f>IF(Crowdfunding!G439="failed",Crowdfunding!H439,0)</f>
        <v>0</v>
      </c>
    </row>
    <row r="440" spans="1:4" x14ac:dyDescent="0.25">
      <c r="A440" t="str">
        <f>IF(Crowdfunding!G440="successful","successful","")</f>
        <v>successful</v>
      </c>
      <c r="B440">
        <f>IF(Crowdfunding!G440="successful",Crowdfunding!H440,0)</f>
        <v>247</v>
      </c>
      <c r="C440" t="str">
        <f>IF(Crowdfunding!G440="failed","failed","")</f>
        <v/>
      </c>
      <c r="D440">
        <f>IF(Crowdfunding!G440="failed",Crowdfunding!H440,0)</f>
        <v>0</v>
      </c>
    </row>
    <row r="441" spans="1:4" x14ac:dyDescent="0.25">
      <c r="A441" t="str">
        <f>IF(Crowdfunding!G441="successful","successful","")</f>
        <v>successful</v>
      </c>
      <c r="B441">
        <f>IF(Crowdfunding!G441="successful",Crowdfunding!H441,0)</f>
        <v>2293</v>
      </c>
      <c r="C441" t="str">
        <f>IF(Crowdfunding!G441="failed","failed","")</f>
        <v/>
      </c>
      <c r="D441">
        <f>IF(Crowdfunding!G441="failed",Crowdfunding!H441,0)</f>
        <v>0</v>
      </c>
    </row>
    <row r="442" spans="1:4" x14ac:dyDescent="0.25">
      <c r="A442" t="str">
        <f>IF(Crowdfunding!G442="successful","successful","")</f>
        <v>successful</v>
      </c>
      <c r="B442">
        <f>IF(Crowdfunding!G442="successful",Crowdfunding!H442,0)</f>
        <v>3131</v>
      </c>
      <c r="C442" t="str">
        <f>IF(Crowdfunding!G442="failed","failed","")</f>
        <v/>
      </c>
      <c r="D442">
        <f>IF(Crowdfunding!G442="failed",Crowdfunding!H442,0)</f>
        <v>0</v>
      </c>
    </row>
    <row r="443" spans="1:4" x14ac:dyDescent="0.25">
      <c r="A443" t="str">
        <f>IF(Crowdfunding!G443="successful","successful","")</f>
        <v/>
      </c>
      <c r="B443">
        <f>IF(Crowdfunding!G443="successful",Crowdfunding!H443,0)</f>
        <v>0</v>
      </c>
      <c r="C443" t="str">
        <f>IF(Crowdfunding!G443="failed","failed","")</f>
        <v>failed</v>
      </c>
      <c r="D443">
        <f>IF(Crowdfunding!G443="failed",Crowdfunding!H443,0)</f>
        <v>32</v>
      </c>
    </row>
    <row r="444" spans="1:4" x14ac:dyDescent="0.25">
      <c r="A444" t="str">
        <f>IF(Crowdfunding!G444="successful","successful","")</f>
        <v>successful</v>
      </c>
      <c r="B444">
        <f>IF(Crowdfunding!G444="successful",Crowdfunding!H444,0)</f>
        <v>143</v>
      </c>
      <c r="C444" t="str">
        <f>IF(Crowdfunding!G444="failed","failed","")</f>
        <v/>
      </c>
      <c r="D444">
        <f>IF(Crowdfunding!G444="failed",Crowdfunding!H444,0)</f>
        <v>0</v>
      </c>
    </row>
    <row r="445" spans="1:4" x14ac:dyDescent="0.25">
      <c r="A445" t="str">
        <f>IF(Crowdfunding!G445="successful","successful","")</f>
        <v/>
      </c>
      <c r="B445">
        <f>IF(Crowdfunding!G445="successful",Crowdfunding!H445,0)</f>
        <v>0</v>
      </c>
      <c r="C445" t="str">
        <f>IF(Crowdfunding!G445="failed","failed","")</f>
        <v/>
      </c>
      <c r="D445">
        <f>IF(Crowdfunding!G445="failed",Crowdfunding!H445,0)</f>
        <v>0</v>
      </c>
    </row>
    <row r="446" spans="1:4" x14ac:dyDescent="0.25">
      <c r="A446" t="str">
        <f>IF(Crowdfunding!G446="successful","successful","")</f>
        <v>successful</v>
      </c>
      <c r="B446">
        <f>IF(Crowdfunding!G446="successful",Crowdfunding!H446,0)</f>
        <v>296</v>
      </c>
      <c r="C446" t="str">
        <f>IF(Crowdfunding!G446="failed","failed","")</f>
        <v/>
      </c>
      <c r="D446">
        <f>IF(Crowdfunding!G446="failed",Crowdfunding!H446,0)</f>
        <v>0</v>
      </c>
    </row>
    <row r="447" spans="1:4" x14ac:dyDescent="0.25">
      <c r="A447" t="str">
        <f>IF(Crowdfunding!G447="successful","successful","")</f>
        <v>successful</v>
      </c>
      <c r="B447">
        <f>IF(Crowdfunding!G447="successful",Crowdfunding!H447,0)</f>
        <v>170</v>
      </c>
      <c r="C447" t="str">
        <f>IF(Crowdfunding!G447="failed","failed","")</f>
        <v/>
      </c>
      <c r="D447">
        <f>IF(Crowdfunding!G447="failed",Crowdfunding!H447,0)</f>
        <v>0</v>
      </c>
    </row>
    <row r="448" spans="1:4" x14ac:dyDescent="0.25">
      <c r="A448" t="str">
        <f>IF(Crowdfunding!G448="successful","successful","")</f>
        <v/>
      </c>
      <c r="B448">
        <f>IF(Crowdfunding!G448="successful",Crowdfunding!H448,0)</f>
        <v>0</v>
      </c>
      <c r="C448" t="str">
        <f>IF(Crowdfunding!G448="failed","failed","")</f>
        <v>failed</v>
      </c>
      <c r="D448">
        <f>IF(Crowdfunding!G448="failed",Crowdfunding!H448,0)</f>
        <v>186</v>
      </c>
    </row>
    <row r="449" spans="1:4" x14ac:dyDescent="0.25">
      <c r="A449" t="str">
        <f>IF(Crowdfunding!G449="successful","successful","")</f>
        <v/>
      </c>
      <c r="B449">
        <f>IF(Crowdfunding!G449="successful",Crowdfunding!H449,0)</f>
        <v>0</v>
      </c>
      <c r="C449" t="str">
        <f>IF(Crowdfunding!G449="failed","failed","")</f>
        <v/>
      </c>
      <c r="D449">
        <f>IF(Crowdfunding!G449="failed",Crowdfunding!H449,0)</f>
        <v>0</v>
      </c>
    </row>
    <row r="450" spans="1:4" x14ac:dyDescent="0.25">
      <c r="A450" t="str">
        <f>IF(Crowdfunding!G450="successful","successful","")</f>
        <v/>
      </c>
      <c r="B450">
        <f>IF(Crowdfunding!G450="successful",Crowdfunding!H450,0)</f>
        <v>0</v>
      </c>
      <c r="C450" t="str">
        <f>IF(Crowdfunding!G450="failed","failed","")</f>
        <v>failed</v>
      </c>
      <c r="D450">
        <f>IF(Crowdfunding!G450="failed",Crowdfunding!H450,0)</f>
        <v>605</v>
      </c>
    </row>
    <row r="451" spans="1:4" x14ac:dyDescent="0.25">
      <c r="A451" t="str">
        <f>IF(Crowdfunding!G451="successful","successful","")</f>
        <v>successful</v>
      </c>
      <c r="B451">
        <f>IF(Crowdfunding!G451="successful",Crowdfunding!H451,0)</f>
        <v>86</v>
      </c>
      <c r="C451" t="str">
        <f>IF(Crowdfunding!G451="failed","failed","")</f>
        <v/>
      </c>
      <c r="D451">
        <f>IF(Crowdfunding!G451="failed",Crowdfunding!H451,0)</f>
        <v>0</v>
      </c>
    </row>
    <row r="452" spans="1:4" x14ac:dyDescent="0.25">
      <c r="A452" t="str">
        <f>IF(Crowdfunding!G452="successful","successful","")</f>
        <v/>
      </c>
      <c r="B452">
        <f>IF(Crowdfunding!G452="successful",Crowdfunding!H452,0)</f>
        <v>0</v>
      </c>
      <c r="C452" t="str">
        <f>IF(Crowdfunding!G452="failed","failed","")</f>
        <v>failed</v>
      </c>
      <c r="D452">
        <f>IF(Crowdfunding!G452="failed",Crowdfunding!H452,0)</f>
        <v>1</v>
      </c>
    </row>
    <row r="453" spans="1:4" x14ac:dyDescent="0.25">
      <c r="A453" t="str">
        <f>IF(Crowdfunding!G453="successful","successful","")</f>
        <v>successful</v>
      </c>
      <c r="B453">
        <f>IF(Crowdfunding!G453="successful",Crowdfunding!H453,0)</f>
        <v>6286</v>
      </c>
      <c r="C453" t="str">
        <f>IF(Crowdfunding!G453="failed","failed","")</f>
        <v/>
      </c>
      <c r="D453">
        <f>IF(Crowdfunding!G453="failed",Crowdfunding!H453,0)</f>
        <v>0</v>
      </c>
    </row>
    <row r="454" spans="1:4" x14ac:dyDescent="0.25">
      <c r="A454" t="str">
        <f>IF(Crowdfunding!G454="successful","successful","")</f>
        <v/>
      </c>
      <c r="B454">
        <f>IF(Crowdfunding!G454="successful",Crowdfunding!H454,0)</f>
        <v>0</v>
      </c>
      <c r="C454" t="str">
        <f>IF(Crowdfunding!G454="failed","failed","")</f>
        <v>failed</v>
      </c>
      <c r="D454">
        <f>IF(Crowdfunding!G454="failed",Crowdfunding!H454,0)</f>
        <v>31</v>
      </c>
    </row>
    <row r="455" spans="1:4" x14ac:dyDescent="0.25">
      <c r="A455" t="str">
        <f>IF(Crowdfunding!G455="successful","successful","")</f>
        <v/>
      </c>
      <c r="B455">
        <f>IF(Crowdfunding!G455="successful",Crowdfunding!H455,0)</f>
        <v>0</v>
      </c>
      <c r="C455" t="str">
        <f>IF(Crowdfunding!G455="failed","failed","")</f>
        <v>failed</v>
      </c>
      <c r="D455">
        <f>IF(Crowdfunding!G455="failed",Crowdfunding!H455,0)</f>
        <v>1181</v>
      </c>
    </row>
    <row r="456" spans="1:4" x14ac:dyDescent="0.25">
      <c r="A456" t="str">
        <f>IF(Crowdfunding!G456="successful","successful","")</f>
        <v/>
      </c>
      <c r="B456">
        <f>IF(Crowdfunding!G456="successful",Crowdfunding!H456,0)</f>
        <v>0</v>
      </c>
      <c r="C456" t="str">
        <f>IF(Crowdfunding!G456="failed","failed","")</f>
        <v>failed</v>
      </c>
      <c r="D456">
        <f>IF(Crowdfunding!G456="failed",Crowdfunding!H456,0)</f>
        <v>39</v>
      </c>
    </row>
    <row r="457" spans="1:4" x14ac:dyDescent="0.25">
      <c r="A457" t="str">
        <f>IF(Crowdfunding!G457="successful","successful","")</f>
        <v>successful</v>
      </c>
      <c r="B457">
        <f>IF(Crowdfunding!G457="successful",Crowdfunding!H457,0)</f>
        <v>3727</v>
      </c>
      <c r="C457" t="str">
        <f>IF(Crowdfunding!G457="failed","failed","")</f>
        <v/>
      </c>
      <c r="D457">
        <f>IF(Crowdfunding!G457="failed",Crowdfunding!H457,0)</f>
        <v>0</v>
      </c>
    </row>
    <row r="458" spans="1:4" x14ac:dyDescent="0.25">
      <c r="A458" t="str">
        <f>IF(Crowdfunding!G458="successful","successful","")</f>
        <v>successful</v>
      </c>
      <c r="B458">
        <f>IF(Crowdfunding!G458="successful",Crowdfunding!H458,0)</f>
        <v>1605</v>
      </c>
      <c r="C458" t="str">
        <f>IF(Crowdfunding!G458="failed","failed","")</f>
        <v/>
      </c>
      <c r="D458">
        <f>IF(Crowdfunding!G458="failed",Crowdfunding!H458,0)</f>
        <v>0</v>
      </c>
    </row>
    <row r="459" spans="1:4" x14ac:dyDescent="0.25">
      <c r="A459" t="str">
        <f>IF(Crowdfunding!G459="successful","successful","")</f>
        <v/>
      </c>
      <c r="B459">
        <f>IF(Crowdfunding!G459="successful",Crowdfunding!H459,0)</f>
        <v>0</v>
      </c>
      <c r="C459" t="str">
        <f>IF(Crowdfunding!G459="failed","failed","")</f>
        <v>failed</v>
      </c>
      <c r="D459">
        <f>IF(Crowdfunding!G459="failed",Crowdfunding!H459,0)</f>
        <v>46</v>
      </c>
    </row>
    <row r="460" spans="1:4" x14ac:dyDescent="0.25">
      <c r="A460" t="str">
        <f>IF(Crowdfunding!G460="successful","successful","")</f>
        <v>successful</v>
      </c>
      <c r="B460">
        <f>IF(Crowdfunding!G460="successful",Crowdfunding!H460,0)</f>
        <v>2120</v>
      </c>
      <c r="C460" t="str">
        <f>IF(Crowdfunding!G460="failed","failed","")</f>
        <v/>
      </c>
      <c r="D460">
        <f>IF(Crowdfunding!G460="failed",Crowdfunding!H460,0)</f>
        <v>0</v>
      </c>
    </row>
    <row r="461" spans="1:4" x14ac:dyDescent="0.25">
      <c r="A461" t="str">
        <f>IF(Crowdfunding!G461="successful","successful","")</f>
        <v/>
      </c>
      <c r="B461">
        <f>IF(Crowdfunding!G461="successful",Crowdfunding!H461,0)</f>
        <v>0</v>
      </c>
      <c r="C461" t="str">
        <f>IF(Crowdfunding!G461="failed","failed","")</f>
        <v>failed</v>
      </c>
      <c r="D461">
        <f>IF(Crowdfunding!G461="failed",Crowdfunding!H461,0)</f>
        <v>105</v>
      </c>
    </row>
    <row r="462" spans="1:4" x14ac:dyDescent="0.25">
      <c r="A462" t="str">
        <f>IF(Crowdfunding!G462="successful","successful","")</f>
        <v>successful</v>
      </c>
      <c r="B462">
        <f>IF(Crowdfunding!G462="successful",Crowdfunding!H462,0)</f>
        <v>50</v>
      </c>
      <c r="C462" t="str">
        <f>IF(Crowdfunding!G462="failed","failed","")</f>
        <v/>
      </c>
      <c r="D462">
        <f>IF(Crowdfunding!G462="failed",Crowdfunding!H462,0)</f>
        <v>0</v>
      </c>
    </row>
    <row r="463" spans="1:4" x14ac:dyDescent="0.25">
      <c r="A463" t="str">
        <f>IF(Crowdfunding!G463="successful","successful","")</f>
        <v>successful</v>
      </c>
      <c r="B463">
        <f>IF(Crowdfunding!G463="successful",Crowdfunding!H463,0)</f>
        <v>2080</v>
      </c>
      <c r="C463" t="str">
        <f>IF(Crowdfunding!G463="failed","failed","")</f>
        <v/>
      </c>
      <c r="D463">
        <f>IF(Crowdfunding!G463="failed",Crowdfunding!H463,0)</f>
        <v>0</v>
      </c>
    </row>
    <row r="464" spans="1:4" x14ac:dyDescent="0.25">
      <c r="A464" t="str">
        <f>IF(Crowdfunding!G464="successful","successful","")</f>
        <v/>
      </c>
      <c r="B464">
        <f>IF(Crowdfunding!G464="successful",Crowdfunding!H464,0)</f>
        <v>0</v>
      </c>
      <c r="C464" t="str">
        <f>IF(Crowdfunding!G464="failed","failed","")</f>
        <v>failed</v>
      </c>
      <c r="D464">
        <f>IF(Crowdfunding!G464="failed",Crowdfunding!H464,0)</f>
        <v>535</v>
      </c>
    </row>
    <row r="465" spans="1:4" x14ac:dyDescent="0.25">
      <c r="A465" t="str">
        <f>IF(Crowdfunding!G465="successful","successful","")</f>
        <v>successful</v>
      </c>
      <c r="B465">
        <f>IF(Crowdfunding!G465="successful",Crowdfunding!H465,0)</f>
        <v>2105</v>
      </c>
      <c r="C465" t="str">
        <f>IF(Crowdfunding!G465="failed","failed","")</f>
        <v/>
      </c>
      <c r="D465">
        <f>IF(Crowdfunding!G465="failed",Crowdfunding!H465,0)</f>
        <v>0</v>
      </c>
    </row>
    <row r="466" spans="1:4" x14ac:dyDescent="0.25">
      <c r="A466" t="str">
        <f>IF(Crowdfunding!G466="successful","successful","")</f>
        <v>successful</v>
      </c>
      <c r="B466">
        <f>IF(Crowdfunding!G466="successful",Crowdfunding!H466,0)</f>
        <v>2436</v>
      </c>
      <c r="C466" t="str">
        <f>IF(Crowdfunding!G466="failed","failed","")</f>
        <v/>
      </c>
      <c r="D466">
        <f>IF(Crowdfunding!G466="failed",Crowdfunding!H466,0)</f>
        <v>0</v>
      </c>
    </row>
    <row r="467" spans="1:4" x14ac:dyDescent="0.25">
      <c r="A467" t="str">
        <f>IF(Crowdfunding!G467="successful","successful","")</f>
        <v>successful</v>
      </c>
      <c r="B467">
        <f>IF(Crowdfunding!G467="successful",Crowdfunding!H467,0)</f>
        <v>80</v>
      </c>
      <c r="C467" t="str">
        <f>IF(Crowdfunding!G467="failed","failed","")</f>
        <v/>
      </c>
      <c r="D467">
        <f>IF(Crowdfunding!G467="failed",Crowdfunding!H467,0)</f>
        <v>0</v>
      </c>
    </row>
    <row r="468" spans="1:4" x14ac:dyDescent="0.25">
      <c r="A468" t="str">
        <f>IF(Crowdfunding!G468="successful","successful","")</f>
        <v>successful</v>
      </c>
      <c r="B468">
        <f>IF(Crowdfunding!G468="successful",Crowdfunding!H468,0)</f>
        <v>42</v>
      </c>
      <c r="C468" t="str">
        <f>IF(Crowdfunding!G468="failed","failed","")</f>
        <v/>
      </c>
      <c r="D468">
        <f>IF(Crowdfunding!G468="failed",Crowdfunding!H468,0)</f>
        <v>0</v>
      </c>
    </row>
    <row r="469" spans="1:4" x14ac:dyDescent="0.25">
      <c r="A469" t="str">
        <f>IF(Crowdfunding!G469="successful","successful","")</f>
        <v>successful</v>
      </c>
      <c r="B469">
        <f>IF(Crowdfunding!G469="successful",Crowdfunding!H469,0)</f>
        <v>139</v>
      </c>
      <c r="C469" t="str">
        <f>IF(Crowdfunding!G469="failed","failed","")</f>
        <v/>
      </c>
      <c r="D469">
        <f>IF(Crowdfunding!G469="failed",Crowdfunding!H469,0)</f>
        <v>0</v>
      </c>
    </row>
    <row r="470" spans="1:4" x14ac:dyDescent="0.25">
      <c r="A470" t="str">
        <f>IF(Crowdfunding!G470="successful","successful","")</f>
        <v/>
      </c>
      <c r="B470">
        <f>IF(Crowdfunding!G470="successful",Crowdfunding!H470,0)</f>
        <v>0</v>
      </c>
      <c r="C470" t="str">
        <f>IF(Crowdfunding!G470="failed","failed","")</f>
        <v>failed</v>
      </c>
      <c r="D470">
        <f>IF(Crowdfunding!G470="failed",Crowdfunding!H470,0)</f>
        <v>16</v>
      </c>
    </row>
    <row r="471" spans="1:4" x14ac:dyDescent="0.25">
      <c r="A471" t="str">
        <f>IF(Crowdfunding!G471="successful","successful","")</f>
        <v>successful</v>
      </c>
      <c r="B471">
        <f>IF(Crowdfunding!G471="successful",Crowdfunding!H471,0)</f>
        <v>159</v>
      </c>
      <c r="C471" t="str">
        <f>IF(Crowdfunding!G471="failed","failed","")</f>
        <v/>
      </c>
      <c r="D471">
        <f>IF(Crowdfunding!G471="failed",Crowdfunding!H471,0)</f>
        <v>0</v>
      </c>
    </row>
    <row r="472" spans="1:4" x14ac:dyDescent="0.25">
      <c r="A472" t="str">
        <f>IF(Crowdfunding!G472="successful","successful","")</f>
        <v>successful</v>
      </c>
      <c r="B472">
        <f>IF(Crowdfunding!G472="successful",Crowdfunding!H472,0)</f>
        <v>381</v>
      </c>
      <c r="C472" t="str">
        <f>IF(Crowdfunding!G472="failed","failed","")</f>
        <v/>
      </c>
      <c r="D472">
        <f>IF(Crowdfunding!G472="failed",Crowdfunding!H472,0)</f>
        <v>0</v>
      </c>
    </row>
    <row r="473" spans="1:4" x14ac:dyDescent="0.25">
      <c r="A473" t="str">
        <f>IF(Crowdfunding!G473="successful","successful","")</f>
        <v>successful</v>
      </c>
      <c r="B473">
        <f>IF(Crowdfunding!G473="successful",Crowdfunding!H473,0)</f>
        <v>194</v>
      </c>
      <c r="C473" t="str">
        <f>IF(Crowdfunding!G473="failed","failed","")</f>
        <v/>
      </c>
      <c r="D473">
        <f>IF(Crowdfunding!G473="failed",Crowdfunding!H473,0)</f>
        <v>0</v>
      </c>
    </row>
    <row r="474" spans="1:4" x14ac:dyDescent="0.25">
      <c r="A474" t="str">
        <f>IF(Crowdfunding!G474="successful","successful","")</f>
        <v/>
      </c>
      <c r="B474">
        <f>IF(Crowdfunding!G474="successful",Crowdfunding!H474,0)</f>
        <v>0</v>
      </c>
      <c r="C474" t="str">
        <f>IF(Crowdfunding!G474="failed","failed","")</f>
        <v>failed</v>
      </c>
      <c r="D474">
        <f>IF(Crowdfunding!G474="failed",Crowdfunding!H474,0)</f>
        <v>575</v>
      </c>
    </row>
    <row r="475" spans="1:4" x14ac:dyDescent="0.25">
      <c r="A475" t="str">
        <f>IF(Crowdfunding!G475="successful","successful","")</f>
        <v>successful</v>
      </c>
      <c r="B475">
        <f>IF(Crowdfunding!G475="successful",Crowdfunding!H475,0)</f>
        <v>106</v>
      </c>
      <c r="C475" t="str">
        <f>IF(Crowdfunding!G475="failed","failed","")</f>
        <v/>
      </c>
      <c r="D475">
        <f>IF(Crowdfunding!G475="failed",Crowdfunding!H475,0)</f>
        <v>0</v>
      </c>
    </row>
    <row r="476" spans="1:4" x14ac:dyDescent="0.25">
      <c r="A476" t="str">
        <f>IF(Crowdfunding!G476="successful","successful","")</f>
        <v>successful</v>
      </c>
      <c r="B476">
        <f>IF(Crowdfunding!G476="successful",Crowdfunding!H476,0)</f>
        <v>142</v>
      </c>
      <c r="C476" t="str">
        <f>IF(Crowdfunding!G476="failed","failed","")</f>
        <v/>
      </c>
      <c r="D476">
        <f>IF(Crowdfunding!G476="failed",Crowdfunding!H476,0)</f>
        <v>0</v>
      </c>
    </row>
    <row r="477" spans="1:4" x14ac:dyDescent="0.25">
      <c r="A477" t="str">
        <f>IF(Crowdfunding!G477="successful","successful","")</f>
        <v>successful</v>
      </c>
      <c r="B477">
        <f>IF(Crowdfunding!G477="successful",Crowdfunding!H477,0)</f>
        <v>211</v>
      </c>
      <c r="C477" t="str">
        <f>IF(Crowdfunding!G477="failed","failed","")</f>
        <v/>
      </c>
      <c r="D477">
        <f>IF(Crowdfunding!G477="failed",Crowdfunding!H477,0)</f>
        <v>0</v>
      </c>
    </row>
    <row r="478" spans="1:4" x14ac:dyDescent="0.25">
      <c r="A478" t="str">
        <f>IF(Crowdfunding!G478="successful","successful","")</f>
        <v/>
      </c>
      <c r="B478">
        <f>IF(Crowdfunding!G478="successful",Crowdfunding!H478,0)</f>
        <v>0</v>
      </c>
      <c r="C478" t="str">
        <f>IF(Crowdfunding!G478="failed","failed","")</f>
        <v>failed</v>
      </c>
      <c r="D478">
        <f>IF(Crowdfunding!G478="failed",Crowdfunding!H478,0)</f>
        <v>1120</v>
      </c>
    </row>
    <row r="479" spans="1:4" x14ac:dyDescent="0.25">
      <c r="A479" t="str">
        <f>IF(Crowdfunding!G479="successful","successful","")</f>
        <v/>
      </c>
      <c r="B479">
        <f>IF(Crowdfunding!G479="successful",Crowdfunding!H479,0)</f>
        <v>0</v>
      </c>
      <c r="C479" t="str">
        <f>IF(Crowdfunding!G479="failed","failed","")</f>
        <v>failed</v>
      </c>
      <c r="D479">
        <f>IF(Crowdfunding!G479="failed",Crowdfunding!H479,0)</f>
        <v>113</v>
      </c>
    </row>
    <row r="480" spans="1:4" x14ac:dyDescent="0.25">
      <c r="A480" t="str">
        <f>IF(Crowdfunding!G480="successful","successful","")</f>
        <v>successful</v>
      </c>
      <c r="B480">
        <f>IF(Crowdfunding!G480="successful",Crowdfunding!H480,0)</f>
        <v>2756</v>
      </c>
      <c r="C480" t="str">
        <f>IF(Crowdfunding!G480="failed","failed","")</f>
        <v/>
      </c>
      <c r="D480">
        <f>IF(Crowdfunding!G480="failed",Crowdfunding!H480,0)</f>
        <v>0</v>
      </c>
    </row>
    <row r="481" spans="1:4" x14ac:dyDescent="0.25">
      <c r="A481" t="str">
        <f>IF(Crowdfunding!G481="successful","successful","")</f>
        <v>successful</v>
      </c>
      <c r="B481">
        <f>IF(Crowdfunding!G481="successful",Crowdfunding!H481,0)</f>
        <v>173</v>
      </c>
      <c r="C481" t="str">
        <f>IF(Crowdfunding!G481="failed","failed","")</f>
        <v/>
      </c>
      <c r="D481">
        <f>IF(Crowdfunding!G481="failed",Crowdfunding!H481,0)</f>
        <v>0</v>
      </c>
    </row>
    <row r="482" spans="1:4" x14ac:dyDescent="0.25">
      <c r="A482" t="str">
        <f>IF(Crowdfunding!G482="successful","successful","")</f>
        <v>successful</v>
      </c>
      <c r="B482">
        <f>IF(Crowdfunding!G482="successful",Crowdfunding!H482,0)</f>
        <v>87</v>
      </c>
      <c r="C482" t="str">
        <f>IF(Crowdfunding!G482="failed","failed","")</f>
        <v/>
      </c>
      <c r="D482">
        <f>IF(Crowdfunding!G482="failed",Crowdfunding!H482,0)</f>
        <v>0</v>
      </c>
    </row>
    <row r="483" spans="1:4" x14ac:dyDescent="0.25">
      <c r="A483" t="str">
        <f>IF(Crowdfunding!G483="successful","successful","")</f>
        <v/>
      </c>
      <c r="B483">
        <f>IF(Crowdfunding!G483="successful",Crowdfunding!H483,0)</f>
        <v>0</v>
      </c>
      <c r="C483" t="str">
        <f>IF(Crowdfunding!G483="failed","failed","")</f>
        <v>failed</v>
      </c>
      <c r="D483">
        <f>IF(Crowdfunding!G483="failed",Crowdfunding!H483,0)</f>
        <v>1538</v>
      </c>
    </row>
    <row r="484" spans="1:4" x14ac:dyDescent="0.25">
      <c r="A484" t="str">
        <f>IF(Crowdfunding!G484="successful","successful","")</f>
        <v/>
      </c>
      <c r="B484">
        <f>IF(Crowdfunding!G484="successful",Crowdfunding!H484,0)</f>
        <v>0</v>
      </c>
      <c r="C484" t="str">
        <f>IF(Crowdfunding!G484="failed","failed","")</f>
        <v>failed</v>
      </c>
      <c r="D484">
        <f>IF(Crowdfunding!G484="failed",Crowdfunding!H484,0)</f>
        <v>9</v>
      </c>
    </row>
    <row r="485" spans="1:4" x14ac:dyDescent="0.25">
      <c r="A485" t="str">
        <f>IF(Crowdfunding!G485="successful","successful","")</f>
        <v/>
      </c>
      <c r="B485">
        <f>IF(Crowdfunding!G485="successful",Crowdfunding!H485,0)</f>
        <v>0</v>
      </c>
      <c r="C485" t="str">
        <f>IF(Crowdfunding!G485="failed","failed","")</f>
        <v>failed</v>
      </c>
      <c r="D485">
        <f>IF(Crowdfunding!G485="failed",Crowdfunding!H485,0)</f>
        <v>554</v>
      </c>
    </row>
    <row r="486" spans="1:4" x14ac:dyDescent="0.25">
      <c r="A486" t="str">
        <f>IF(Crowdfunding!G486="successful","successful","")</f>
        <v>successful</v>
      </c>
      <c r="B486">
        <f>IF(Crowdfunding!G486="successful",Crowdfunding!H486,0)</f>
        <v>1572</v>
      </c>
      <c r="C486" t="str">
        <f>IF(Crowdfunding!G486="failed","failed","")</f>
        <v/>
      </c>
      <c r="D486">
        <f>IF(Crowdfunding!G486="failed",Crowdfunding!H486,0)</f>
        <v>0</v>
      </c>
    </row>
    <row r="487" spans="1:4" x14ac:dyDescent="0.25">
      <c r="A487" t="str">
        <f>IF(Crowdfunding!G487="successful","successful","")</f>
        <v/>
      </c>
      <c r="B487">
        <f>IF(Crowdfunding!G487="successful",Crowdfunding!H487,0)</f>
        <v>0</v>
      </c>
      <c r="C487" t="str">
        <f>IF(Crowdfunding!G487="failed","failed","")</f>
        <v>failed</v>
      </c>
      <c r="D487">
        <f>IF(Crowdfunding!G487="failed",Crowdfunding!H487,0)</f>
        <v>648</v>
      </c>
    </row>
    <row r="488" spans="1:4" x14ac:dyDescent="0.25">
      <c r="A488" t="str">
        <f>IF(Crowdfunding!G488="successful","successful","")</f>
        <v/>
      </c>
      <c r="B488">
        <f>IF(Crowdfunding!G488="successful",Crowdfunding!H488,0)</f>
        <v>0</v>
      </c>
      <c r="C488" t="str">
        <f>IF(Crowdfunding!G488="failed","failed","")</f>
        <v>failed</v>
      </c>
      <c r="D488">
        <f>IF(Crowdfunding!G488="failed",Crowdfunding!H488,0)</f>
        <v>21</v>
      </c>
    </row>
    <row r="489" spans="1:4" x14ac:dyDescent="0.25">
      <c r="A489" t="str">
        <f>IF(Crowdfunding!G489="successful","successful","")</f>
        <v>successful</v>
      </c>
      <c r="B489">
        <f>IF(Crowdfunding!G489="successful",Crowdfunding!H489,0)</f>
        <v>2346</v>
      </c>
      <c r="C489" t="str">
        <f>IF(Crowdfunding!G489="failed","failed","")</f>
        <v/>
      </c>
      <c r="D489">
        <f>IF(Crowdfunding!G489="failed",Crowdfunding!H489,0)</f>
        <v>0</v>
      </c>
    </row>
    <row r="490" spans="1:4" x14ac:dyDescent="0.25">
      <c r="A490" t="str">
        <f>IF(Crowdfunding!G490="successful","successful","")</f>
        <v>successful</v>
      </c>
      <c r="B490">
        <f>IF(Crowdfunding!G490="successful",Crowdfunding!H490,0)</f>
        <v>115</v>
      </c>
      <c r="C490" t="str">
        <f>IF(Crowdfunding!G490="failed","failed","")</f>
        <v/>
      </c>
      <c r="D490">
        <f>IF(Crowdfunding!G490="failed",Crowdfunding!H490,0)</f>
        <v>0</v>
      </c>
    </row>
    <row r="491" spans="1:4" x14ac:dyDescent="0.25">
      <c r="A491" t="str">
        <f>IF(Crowdfunding!G491="successful","successful","")</f>
        <v>successful</v>
      </c>
      <c r="B491">
        <f>IF(Crowdfunding!G491="successful",Crowdfunding!H491,0)</f>
        <v>85</v>
      </c>
      <c r="C491" t="str">
        <f>IF(Crowdfunding!G491="failed","failed","")</f>
        <v/>
      </c>
      <c r="D491">
        <f>IF(Crowdfunding!G491="failed",Crowdfunding!H491,0)</f>
        <v>0</v>
      </c>
    </row>
    <row r="492" spans="1:4" x14ac:dyDescent="0.25">
      <c r="A492" t="str">
        <f>IF(Crowdfunding!G492="successful","successful","")</f>
        <v>successful</v>
      </c>
      <c r="B492">
        <f>IF(Crowdfunding!G492="successful",Crowdfunding!H492,0)</f>
        <v>144</v>
      </c>
      <c r="C492" t="str">
        <f>IF(Crowdfunding!G492="failed","failed","")</f>
        <v/>
      </c>
      <c r="D492">
        <f>IF(Crowdfunding!G492="failed",Crowdfunding!H492,0)</f>
        <v>0</v>
      </c>
    </row>
    <row r="493" spans="1:4" x14ac:dyDescent="0.25">
      <c r="A493" t="str">
        <f>IF(Crowdfunding!G493="successful","successful","")</f>
        <v>successful</v>
      </c>
      <c r="B493">
        <f>IF(Crowdfunding!G493="successful",Crowdfunding!H493,0)</f>
        <v>2443</v>
      </c>
      <c r="C493" t="str">
        <f>IF(Crowdfunding!G493="failed","failed","")</f>
        <v/>
      </c>
      <c r="D493">
        <f>IF(Crowdfunding!G493="failed",Crowdfunding!H493,0)</f>
        <v>0</v>
      </c>
    </row>
    <row r="494" spans="1:4" x14ac:dyDescent="0.25">
      <c r="A494" t="str">
        <f>IF(Crowdfunding!G494="successful","successful","")</f>
        <v/>
      </c>
      <c r="B494">
        <f>IF(Crowdfunding!G494="successful",Crowdfunding!H494,0)</f>
        <v>0</v>
      </c>
      <c r="C494" t="str">
        <f>IF(Crowdfunding!G494="failed","failed","")</f>
        <v/>
      </c>
      <c r="D494">
        <f>IF(Crowdfunding!G494="failed",Crowdfunding!H494,0)</f>
        <v>0</v>
      </c>
    </row>
    <row r="495" spans="1:4" x14ac:dyDescent="0.25">
      <c r="A495" t="str">
        <f>IF(Crowdfunding!G495="successful","successful","")</f>
        <v>successful</v>
      </c>
      <c r="B495">
        <f>IF(Crowdfunding!G495="successful",Crowdfunding!H495,0)</f>
        <v>64</v>
      </c>
      <c r="C495" t="str">
        <f>IF(Crowdfunding!G495="failed","failed","")</f>
        <v/>
      </c>
      <c r="D495">
        <f>IF(Crowdfunding!G495="failed",Crowdfunding!H495,0)</f>
        <v>0</v>
      </c>
    </row>
    <row r="496" spans="1:4" x14ac:dyDescent="0.25">
      <c r="A496" t="str">
        <f>IF(Crowdfunding!G496="successful","successful","")</f>
        <v>successful</v>
      </c>
      <c r="B496">
        <f>IF(Crowdfunding!G496="successful",Crowdfunding!H496,0)</f>
        <v>268</v>
      </c>
      <c r="C496" t="str">
        <f>IF(Crowdfunding!G496="failed","failed","")</f>
        <v/>
      </c>
      <c r="D496">
        <f>IF(Crowdfunding!G496="failed",Crowdfunding!H496,0)</f>
        <v>0</v>
      </c>
    </row>
    <row r="497" spans="1:4" x14ac:dyDescent="0.25">
      <c r="A497" t="str">
        <f>IF(Crowdfunding!G497="successful","successful","")</f>
        <v>successful</v>
      </c>
      <c r="B497">
        <f>IF(Crowdfunding!G497="successful",Crowdfunding!H497,0)</f>
        <v>195</v>
      </c>
      <c r="C497" t="str">
        <f>IF(Crowdfunding!G497="failed","failed","")</f>
        <v/>
      </c>
      <c r="D497">
        <f>IF(Crowdfunding!G497="failed",Crowdfunding!H497,0)</f>
        <v>0</v>
      </c>
    </row>
    <row r="498" spans="1:4" x14ac:dyDescent="0.25">
      <c r="A498" t="str">
        <f>IF(Crowdfunding!G498="successful","successful","")</f>
        <v/>
      </c>
      <c r="B498">
        <f>IF(Crowdfunding!G498="successful",Crowdfunding!H498,0)</f>
        <v>0</v>
      </c>
      <c r="C498" t="str">
        <f>IF(Crowdfunding!G498="failed","failed","")</f>
        <v>failed</v>
      </c>
      <c r="D498">
        <f>IF(Crowdfunding!G498="failed",Crowdfunding!H498,0)</f>
        <v>54</v>
      </c>
    </row>
    <row r="499" spans="1:4" x14ac:dyDescent="0.25">
      <c r="A499" t="str">
        <f>IF(Crowdfunding!G499="successful","successful","")</f>
        <v/>
      </c>
      <c r="B499">
        <f>IF(Crowdfunding!G499="successful",Crowdfunding!H499,0)</f>
        <v>0</v>
      </c>
      <c r="C499" t="str">
        <f>IF(Crowdfunding!G499="failed","failed","")</f>
        <v>failed</v>
      </c>
      <c r="D499">
        <f>IF(Crowdfunding!G499="failed",Crowdfunding!H499,0)</f>
        <v>120</v>
      </c>
    </row>
    <row r="500" spans="1:4" x14ac:dyDescent="0.25">
      <c r="A500" t="str">
        <f>IF(Crowdfunding!G500="successful","successful","")</f>
        <v/>
      </c>
      <c r="B500">
        <f>IF(Crowdfunding!G500="successful",Crowdfunding!H500,0)</f>
        <v>0</v>
      </c>
      <c r="C500" t="str">
        <f>IF(Crowdfunding!G500="failed","failed","")</f>
        <v>failed</v>
      </c>
      <c r="D500">
        <f>IF(Crowdfunding!G500="failed",Crowdfunding!H500,0)</f>
        <v>579</v>
      </c>
    </row>
    <row r="501" spans="1:4" x14ac:dyDescent="0.25">
      <c r="A501" t="str">
        <f>IF(Crowdfunding!G501="successful","successful","")</f>
        <v/>
      </c>
      <c r="B501">
        <f>IF(Crowdfunding!G501="successful",Crowdfunding!H501,0)</f>
        <v>0</v>
      </c>
      <c r="C501" t="str">
        <f>IF(Crowdfunding!G501="failed","failed","")</f>
        <v>failed</v>
      </c>
      <c r="D501">
        <f>IF(Crowdfunding!G501="failed",Crowdfunding!H501,0)</f>
        <v>2072</v>
      </c>
    </row>
    <row r="502" spans="1:4" x14ac:dyDescent="0.25">
      <c r="A502" t="str">
        <f>IF(Crowdfunding!G502="successful","successful","")</f>
        <v/>
      </c>
      <c r="B502">
        <f>IF(Crowdfunding!G502="successful",Crowdfunding!H502,0)</f>
        <v>0</v>
      </c>
      <c r="C502" t="str">
        <f>IF(Crowdfunding!G502="failed","failed","")</f>
        <v>failed</v>
      </c>
      <c r="D502">
        <f>IF(Crowdfunding!G502="failed",Crowdfunding!H502,0)</f>
        <v>0</v>
      </c>
    </row>
    <row r="503" spans="1:4" x14ac:dyDescent="0.25">
      <c r="A503" t="str">
        <f>IF(Crowdfunding!G503="successful","successful","")</f>
        <v/>
      </c>
      <c r="B503">
        <f>IF(Crowdfunding!G503="successful",Crowdfunding!H503,0)</f>
        <v>0</v>
      </c>
      <c r="C503" t="str">
        <f>IF(Crowdfunding!G503="failed","failed","")</f>
        <v>failed</v>
      </c>
      <c r="D503">
        <f>IF(Crowdfunding!G503="failed",Crowdfunding!H503,0)</f>
        <v>1796</v>
      </c>
    </row>
    <row r="504" spans="1:4" x14ac:dyDescent="0.25">
      <c r="A504" t="str">
        <f>IF(Crowdfunding!G504="successful","successful","")</f>
        <v>successful</v>
      </c>
      <c r="B504">
        <f>IF(Crowdfunding!G504="successful",Crowdfunding!H504,0)</f>
        <v>186</v>
      </c>
      <c r="C504" t="str">
        <f>IF(Crowdfunding!G504="failed","failed","")</f>
        <v/>
      </c>
      <c r="D504">
        <f>IF(Crowdfunding!G504="failed",Crowdfunding!H504,0)</f>
        <v>0</v>
      </c>
    </row>
    <row r="505" spans="1:4" x14ac:dyDescent="0.25">
      <c r="A505" t="str">
        <f>IF(Crowdfunding!G505="successful","successful","")</f>
        <v>successful</v>
      </c>
      <c r="B505">
        <f>IF(Crowdfunding!G505="successful",Crowdfunding!H505,0)</f>
        <v>460</v>
      </c>
      <c r="C505" t="str">
        <f>IF(Crowdfunding!G505="failed","failed","")</f>
        <v/>
      </c>
      <c r="D505">
        <f>IF(Crowdfunding!G505="failed",Crowdfunding!H505,0)</f>
        <v>0</v>
      </c>
    </row>
    <row r="506" spans="1:4" x14ac:dyDescent="0.25">
      <c r="A506" t="str">
        <f>IF(Crowdfunding!G506="successful","successful","")</f>
        <v/>
      </c>
      <c r="B506">
        <f>IF(Crowdfunding!G506="successful",Crowdfunding!H506,0)</f>
        <v>0</v>
      </c>
      <c r="C506" t="str">
        <f>IF(Crowdfunding!G506="failed","failed","")</f>
        <v>failed</v>
      </c>
      <c r="D506">
        <f>IF(Crowdfunding!G506="failed",Crowdfunding!H506,0)</f>
        <v>62</v>
      </c>
    </row>
    <row r="507" spans="1:4" x14ac:dyDescent="0.25">
      <c r="A507" t="str">
        <f>IF(Crowdfunding!G507="successful","successful","")</f>
        <v/>
      </c>
      <c r="B507">
        <f>IF(Crowdfunding!G507="successful",Crowdfunding!H507,0)</f>
        <v>0</v>
      </c>
      <c r="C507" t="str">
        <f>IF(Crowdfunding!G507="failed","failed","")</f>
        <v>failed</v>
      </c>
      <c r="D507">
        <f>IF(Crowdfunding!G507="failed",Crowdfunding!H507,0)</f>
        <v>347</v>
      </c>
    </row>
    <row r="508" spans="1:4" x14ac:dyDescent="0.25">
      <c r="A508" t="str">
        <f>IF(Crowdfunding!G508="successful","successful","")</f>
        <v>successful</v>
      </c>
      <c r="B508">
        <f>IF(Crowdfunding!G508="successful",Crowdfunding!H508,0)</f>
        <v>2528</v>
      </c>
      <c r="C508" t="str">
        <f>IF(Crowdfunding!G508="failed","failed","")</f>
        <v/>
      </c>
      <c r="D508">
        <f>IF(Crowdfunding!G508="failed",Crowdfunding!H508,0)</f>
        <v>0</v>
      </c>
    </row>
    <row r="509" spans="1:4" x14ac:dyDescent="0.25">
      <c r="A509" t="str">
        <f>IF(Crowdfunding!G509="successful","successful","")</f>
        <v/>
      </c>
      <c r="B509">
        <f>IF(Crowdfunding!G509="successful",Crowdfunding!H509,0)</f>
        <v>0</v>
      </c>
      <c r="C509" t="str">
        <f>IF(Crowdfunding!G509="failed","failed","")</f>
        <v>failed</v>
      </c>
      <c r="D509">
        <f>IF(Crowdfunding!G509="failed",Crowdfunding!H509,0)</f>
        <v>19</v>
      </c>
    </row>
    <row r="510" spans="1:4" x14ac:dyDescent="0.25">
      <c r="A510" t="str">
        <f>IF(Crowdfunding!G510="successful","successful","")</f>
        <v>successful</v>
      </c>
      <c r="B510">
        <f>IF(Crowdfunding!G510="successful",Crowdfunding!H510,0)</f>
        <v>3657</v>
      </c>
      <c r="C510" t="str">
        <f>IF(Crowdfunding!G510="failed","failed","")</f>
        <v/>
      </c>
      <c r="D510">
        <f>IF(Crowdfunding!G510="failed",Crowdfunding!H510,0)</f>
        <v>0</v>
      </c>
    </row>
    <row r="511" spans="1:4" x14ac:dyDescent="0.25">
      <c r="A511" t="str">
        <f>IF(Crowdfunding!G511="successful","successful","")</f>
        <v/>
      </c>
      <c r="B511">
        <f>IF(Crowdfunding!G511="successful",Crowdfunding!H511,0)</f>
        <v>0</v>
      </c>
      <c r="C511" t="str">
        <f>IF(Crowdfunding!G511="failed","failed","")</f>
        <v>failed</v>
      </c>
      <c r="D511">
        <f>IF(Crowdfunding!G511="failed",Crowdfunding!H511,0)</f>
        <v>1258</v>
      </c>
    </row>
    <row r="512" spans="1:4" x14ac:dyDescent="0.25">
      <c r="A512" t="str">
        <f>IF(Crowdfunding!G512="successful","successful","")</f>
        <v>successful</v>
      </c>
      <c r="B512">
        <f>IF(Crowdfunding!G512="successful",Crowdfunding!H512,0)</f>
        <v>131</v>
      </c>
      <c r="C512" t="str">
        <f>IF(Crowdfunding!G512="failed","failed","")</f>
        <v/>
      </c>
      <c r="D512">
        <f>IF(Crowdfunding!G512="failed",Crowdfunding!H512,0)</f>
        <v>0</v>
      </c>
    </row>
    <row r="513" spans="1:4" x14ac:dyDescent="0.25">
      <c r="A513" t="str">
        <f>IF(Crowdfunding!G513="successful","successful","")</f>
        <v/>
      </c>
      <c r="B513">
        <f>IF(Crowdfunding!G513="successful",Crowdfunding!H513,0)</f>
        <v>0</v>
      </c>
      <c r="C513" t="str">
        <f>IF(Crowdfunding!G513="failed","failed","")</f>
        <v>failed</v>
      </c>
      <c r="D513">
        <f>IF(Crowdfunding!G513="failed",Crowdfunding!H513,0)</f>
        <v>362</v>
      </c>
    </row>
    <row r="514" spans="1:4" x14ac:dyDescent="0.25">
      <c r="A514" t="str">
        <f>IF(Crowdfunding!G514="successful","successful","")</f>
        <v>successful</v>
      </c>
      <c r="B514">
        <f>IF(Crowdfunding!G514="successful",Crowdfunding!H514,0)</f>
        <v>239</v>
      </c>
      <c r="C514" t="str">
        <f>IF(Crowdfunding!G514="failed","failed","")</f>
        <v/>
      </c>
      <c r="D514">
        <f>IF(Crowdfunding!G514="failed",Crowdfunding!H514,0)</f>
        <v>0</v>
      </c>
    </row>
    <row r="515" spans="1:4" x14ac:dyDescent="0.25">
      <c r="A515" t="str">
        <f>IF(Crowdfunding!G515="successful","successful","")</f>
        <v/>
      </c>
      <c r="B515">
        <f>IF(Crowdfunding!G515="successful",Crowdfunding!H515,0)</f>
        <v>0</v>
      </c>
      <c r="C515" t="str">
        <f>IF(Crowdfunding!G515="failed","failed","")</f>
        <v/>
      </c>
      <c r="D515">
        <f>IF(Crowdfunding!G515="failed",Crowdfunding!H515,0)</f>
        <v>0</v>
      </c>
    </row>
    <row r="516" spans="1:4" x14ac:dyDescent="0.25">
      <c r="A516" t="str">
        <f>IF(Crowdfunding!G516="successful","successful","")</f>
        <v/>
      </c>
      <c r="B516">
        <f>IF(Crowdfunding!G516="successful",Crowdfunding!H516,0)</f>
        <v>0</v>
      </c>
      <c r="C516" t="str">
        <f>IF(Crowdfunding!G516="failed","failed","")</f>
        <v/>
      </c>
      <c r="D516">
        <f>IF(Crowdfunding!G516="failed",Crowdfunding!H516,0)</f>
        <v>0</v>
      </c>
    </row>
    <row r="517" spans="1:4" x14ac:dyDescent="0.25">
      <c r="A517" t="str">
        <f>IF(Crowdfunding!G517="successful","successful","")</f>
        <v/>
      </c>
      <c r="B517">
        <f>IF(Crowdfunding!G517="successful",Crowdfunding!H517,0)</f>
        <v>0</v>
      </c>
      <c r="C517" t="str">
        <f>IF(Crowdfunding!G517="failed","failed","")</f>
        <v>failed</v>
      </c>
      <c r="D517">
        <f>IF(Crowdfunding!G517="failed",Crowdfunding!H517,0)</f>
        <v>133</v>
      </c>
    </row>
    <row r="518" spans="1:4" x14ac:dyDescent="0.25">
      <c r="A518" t="str">
        <f>IF(Crowdfunding!G518="successful","successful","")</f>
        <v/>
      </c>
      <c r="B518">
        <f>IF(Crowdfunding!G518="successful",Crowdfunding!H518,0)</f>
        <v>0</v>
      </c>
      <c r="C518" t="str">
        <f>IF(Crowdfunding!G518="failed","failed","")</f>
        <v>failed</v>
      </c>
      <c r="D518">
        <f>IF(Crowdfunding!G518="failed",Crowdfunding!H518,0)</f>
        <v>846</v>
      </c>
    </row>
    <row r="519" spans="1:4" x14ac:dyDescent="0.25">
      <c r="A519" t="str">
        <f>IF(Crowdfunding!G519="successful","successful","")</f>
        <v>successful</v>
      </c>
      <c r="B519">
        <f>IF(Crowdfunding!G519="successful",Crowdfunding!H519,0)</f>
        <v>78</v>
      </c>
      <c r="C519" t="str">
        <f>IF(Crowdfunding!G519="failed","failed","")</f>
        <v/>
      </c>
      <c r="D519">
        <f>IF(Crowdfunding!G519="failed",Crowdfunding!H519,0)</f>
        <v>0</v>
      </c>
    </row>
    <row r="520" spans="1:4" x14ac:dyDescent="0.25">
      <c r="A520" t="str">
        <f>IF(Crowdfunding!G520="successful","successful","")</f>
        <v/>
      </c>
      <c r="B520">
        <f>IF(Crowdfunding!G520="successful",Crowdfunding!H520,0)</f>
        <v>0</v>
      </c>
      <c r="C520" t="str">
        <f>IF(Crowdfunding!G520="failed","failed","")</f>
        <v>failed</v>
      </c>
      <c r="D520">
        <f>IF(Crowdfunding!G520="failed",Crowdfunding!H520,0)</f>
        <v>10</v>
      </c>
    </row>
    <row r="521" spans="1:4" x14ac:dyDescent="0.25">
      <c r="A521" t="str">
        <f>IF(Crowdfunding!G521="successful","successful","")</f>
        <v>successful</v>
      </c>
      <c r="B521">
        <f>IF(Crowdfunding!G521="successful",Crowdfunding!H521,0)</f>
        <v>1773</v>
      </c>
      <c r="C521" t="str">
        <f>IF(Crowdfunding!G521="failed","failed","")</f>
        <v/>
      </c>
      <c r="D521">
        <f>IF(Crowdfunding!G521="failed",Crowdfunding!H521,0)</f>
        <v>0</v>
      </c>
    </row>
    <row r="522" spans="1:4" x14ac:dyDescent="0.25">
      <c r="A522" t="str">
        <f>IF(Crowdfunding!G522="successful","successful","")</f>
        <v>successful</v>
      </c>
      <c r="B522">
        <f>IF(Crowdfunding!G522="successful",Crowdfunding!H522,0)</f>
        <v>32</v>
      </c>
      <c r="C522" t="str">
        <f>IF(Crowdfunding!G522="failed","failed","")</f>
        <v/>
      </c>
      <c r="D522">
        <f>IF(Crowdfunding!G522="failed",Crowdfunding!H522,0)</f>
        <v>0</v>
      </c>
    </row>
    <row r="523" spans="1:4" x14ac:dyDescent="0.25">
      <c r="A523" t="str">
        <f>IF(Crowdfunding!G523="successful","successful","")</f>
        <v>successful</v>
      </c>
      <c r="B523">
        <f>IF(Crowdfunding!G523="successful",Crowdfunding!H523,0)</f>
        <v>369</v>
      </c>
      <c r="C523" t="str">
        <f>IF(Crowdfunding!G523="failed","failed","")</f>
        <v/>
      </c>
      <c r="D523">
        <f>IF(Crowdfunding!G523="failed",Crowdfunding!H523,0)</f>
        <v>0</v>
      </c>
    </row>
    <row r="524" spans="1:4" x14ac:dyDescent="0.25">
      <c r="A524" t="str">
        <f>IF(Crowdfunding!G524="successful","successful","")</f>
        <v/>
      </c>
      <c r="B524">
        <f>IF(Crowdfunding!G524="successful",Crowdfunding!H524,0)</f>
        <v>0</v>
      </c>
      <c r="C524" t="str">
        <f>IF(Crowdfunding!G524="failed","failed","")</f>
        <v>failed</v>
      </c>
      <c r="D524">
        <f>IF(Crowdfunding!G524="failed",Crowdfunding!H524,0)</f>
        <v>191</v>
      </c>
    </row>
    <row r="525" spans="1:4" x14ac:dyDescent="0.25">
      <c r="A525" t="str">
        <f>IF(Crowdfunding!G525="successful","successful","")</f>
        <v>successful</v>
      </c>
      <c r="B525">
        <f>IF(Crowdfunding!G525="successful",Crowdfunding!H525,0)</f>
        <v>89</v>
      </c>
      <c r="C525" t="str">
        <f>IF(Crowdfunding!G525="failed","failed","")</f>
        <v/>
      </c>
      <c r="D525">
        <f>IF(Crowdfunding!G525="failed",Crowdfunding!H525,0)</f>
        <v>0</v>
      </c>
    </row>
    <row r="526" spans="1:4" x14ac:dyDescent="0.25">
      <c r="A526" t="str">
        <f>IF(Crowdfunding!G526="successful","successful","")</f>
        <v/>
      </c>
      <c r="B526">
        <f>IF(Crowdfunding!G526="successful",Crowdfunding!H526,0)</f>
        <v>0</v>
      </c>
      <c r="C526" t="str">
        <f>IF(Crowdfunding!G526="failed","failed","")</f>
        <v>failed</v>
      </c>
      <c r="D526">
        <f>IF(Crowdfunding!G526="failed",Crowdfunding!H526,0)</f>
        <v>1979</v>
      </c>
    </row>
    <row r="527" spans="1:4" x14ac:dyDescent="0.25">
      <c r="A527" t="str">
        <f>IF(Crowdfunding!G527="successful","successful","")</f>
        <v/>
      </c>
      <c r="B527">
        <f>IF(Crowdfunding!G527="successful",Crowdfunding!H527,0)</f>
        <v>0</v>
      </c>
      <c r="C527" t="str">
        <f>IF(Crowdfunding!G527="failed","failed","")</f>
        <v>failed</v>
      </c>
      <c r="D527">
        <f>IF(Crowdfunding!G527="failed",Crowdfunding!H527,0)</f>
        <v>63</v>
      </c>
    </row>
    <row r="528" spans="1:4" x14ac:dyDescent="0.25">
      <c r="A528" t="str">
        <f>IF(Crowdfunding!G528="successful","successful","")</f>
        <v>successful</v>
      </c>
      <c r="B528">
        <f>IF(Crowdfunding!G528="successful",Crowdfunding!H528,0)</f>
        <v>147</v>
      </c>
      <c r="C528" t="str">
        <f>IF(Crowdfunding!G528="failed","failed","")</f>
        <v/>
      </c>
      <c r="D528">
        <f>IF(Crowdfunding!G528="failed",Crowdfunding!H528,0)</f>
        <v>0</v>
      </c>
    </row>
    <row r="529" spans="1:4" x14ac:dyDescent="0.25">
      <c r="A529" t="str">
        <f>IF(Crowdfunding!G529="successful","successful","")</f>
        <v/>
      </c>
      <c r="B529">
        <f>IF(Crowdfunding!G529="successful",Crowdfunding!H529,0)</f>
        <v>0</v>
      </c>
      <c r="C529" t="str">
        <f>IF(Crowdfunding!G529="failed","failed","")</f>
        <v>failed</v>
      </c>
      <c r="D529">
        <f>IF(Crowdfunding!G529="failed",Crowdfunding!H529,0)</f>
        <v>6080</v>
      </c>
    </row>
    <row r="530" spans="1:4" x14ac:dyDescent="0.25">
      <c r="A530" t="str">
        <f>IF(Crowdfunding!G530="successful","successful","")</f>
        <v/>
      </c>
      <c r="B530">
        <f>IF(Crowdfunding!G530="successful",Crowdfunding!H530,0)</f>
        <v>0</v>
      </c>
      <c r="C530" t="str">
        <f>IF(Crowdfunding!G530="failed","failed","")</f>
        <v>failed</v>
      </c>
      <c r="D530">
        <f>IF(Crowdfunding!G530="failed",Crowdfunding!H530,0)</f>
        <v>80</v>
      </c>
    </row>
    <row r="531" spans="1:4" x14ac:dyDescent="0.25">
      <c r="A531" t="str">
        <f>IF(Crowdfunding!G531="successful","successful","")</f>
        <v/>
      </c>
      <c r="B531">
        <f>IF(Crowdfunding!G531="successful",Crowdfunding!H531,0)</f>
        <v>0</v>
      </c>
      <c r="C531" t="str">
        <f>IF(Crowdfunding!G531="failed","failed","")</f>
        <v>failed</v>
      </c>
      <c r="D531">
        <f>IF(Crowdfunding!G531="failed",Crowdfunding!H531,0)</f>
        <v>9</v>
      </c>
    </row>
    <row r="532" spans="1:4" x14ac:dyDescent="0.25">
      <c r="A532" t="str">
        <f>IF(Crowdfunding!G532="successful","successful","")</f>
        <v/>
      </c>
      <c r="B532">
        <f>IF(Crowdfunding!G532="successful",Crowdfunding!H532,0)</f>
        <v>0</v>
      </c>
      <c r="C532" t="str">
        <f>IF(Crowdfunding!G532="failed","failed","")</f>
        <v>failed</v>
      </c>
      <c r="D532">
        <f>IF(Crowdfunding!G532="failed",Crowdfunding!H532,0)</f>
        <v>1784</v>
      </c>
    </row>
    <row r="533" spans="1:4" x14ac:dyDescent="0.25">
      <c r="A533" t="str">
        <f>IF(Crowdfunding!G533="successful","successful","")</f>
        <v/>
      </c>
      <c r="B533">
        <f>IF(Crowdfunding!G533="successful",Crowdfunding!H533,0)</f>
        <v>0</v>
      </c>
      <c r="C533" t="str">
        <f>IF(Crowdfunding!G533="failed","failed","")</f>
        <v/>
      </c>
      <c r="D533">
        <f>IF(Crowdfunding!G533="failed",Crowdfunding!H533,0)</f>
        <v>0</v>
      </c>
    </row>
    <row r="534" spans="1:4" x14ac:dyDescent="0.25">
      <c r="A534" t="str">
        <f>IF(Crowdfunding!G534="successful","successful","")</f>
        <v>successful</v>
      </c>
      <c r="B534">
        <f>IF(Crowdfunding!G534="successful",Crowdfunding!H534,0)</f>
        <v>126</v>
      </c>
      <c r="C534" t="str">
        <f>IF(Crowdfunding!G534="failed","failed","")</f>
        <v/>
      </c>
      <c r="D534">
        <f>IF(Crowdfunding!G534="failed",Crowdfunding!H534,0)</f>
        <v>0</v>
      </c>
    </row>
    <row r="535" spans="1:4" x14ac:dyDescent="0.25">
      <c r="A535" t="str">
        <f>IF(Crowdfunding!G535="successful","successful","")</f>
        <v>successful</v>
      </c>
      <c r="B535">
        <f>IF(Crowdfunding!G535="successful",Crowdfunding!H535,0)</f>
        <v>2218</v>
      </c>
      <c r="C535" t="str">
        <f>IF(Crowdfunding!G535="failed","failed","")</f>
        <v/>
      </c>
      <c r="D535">
        <f>IF(Crowdfunding!G535="failed",Crowdfunding!H535,0)</f>
        <v>0</v>
      </c>
    </row>
    <row r="536" spans="1:4" x14ac:dyDescent="0.25">
      <c r="A536" t="str">
        <f>IF(Crowdfunding!G536="successful","successful","")</f>
        <v/>
      </c>
      <c r="B536">
        <f>IF(Crowdfunding!G536="successful",Crowdfunding!H536,0)</f>
        <v>0</v>
      </c>
      <c r="C536" t="str">
        <f>IF(Crowdfunding!G536="failed","failed","")</f>
        <v>failed</v>
      </c>
      <c r="D536">
        <f>IF(Crowdfunding!G536="failed",Crowdfunding!H536,0)</f>
        <v>243</v>
      </c>
    </row>
    <row r="537" spans="1:4" x14ac:dyDescent="0.25">
      <c r="A537" t="str">
        <f>IF(Crowdfunding!G537="successful","successful","")</f>
        <v>successful</v>
      </c>
      <c r="B537">
        <f>IF(Crowdfunding!G537="successful",Crowdfunding!H537,0)</f>
        <v>202</v>
      </c>
      <c r="C537" t="str">
        <f>IF(Crowdfunding!G537="failed","failed","")</f>
        <v/>
      </c>
      <c r="D537">
        <f>IF(Crowdfunding!G537="failed",Crowdfunding!H537,0)</f>
        <v>0</v>
      </c>
    </row>
    <row r="538" spans="1:4" x14ac:dyDescent="0.25">
      <c r="A538" t="str">
        <f>IF(Crowdfunding!G538="successful","successful","")</f>
        <v>successful</v>
      </c>
      <c r="B538">
        <f>IF(Crowdfunding!G538="successful",Crowdfunding!H538,0)</f>
        <v>140</v>
      </c>
      <c r="C538" t="str">
        <f>IF(Crowdfunding!G538="failed","failed","")</f>
        <v/>
      </c>
      <c r="D538">
        <f>IF(Crowdfunding!G538="failed",Crowdfunding!H538,0)</f>
        <v>0</v>
      </c>
    </row>
    <row r="539" spans="1:4" x14ac:dyDescent="0.25">
      <c r="A539" t="str">
        <f>IF(Crowdfunding!G539="successful","successful","")</f>
        <v>successful</v>
      </c>
      <c r="B539">
        <f>IF(Crowdfunding!G539="successful",Crowdfunding!H539,0)</f>
        <v>1052</v>
      </c>
      <c r="C539" t="str">
        <f>IF(Crowdfunding!G539="failed","failed","")</f>
        <v/>
      </c>
      <c r="D539">
        <f>IF(Crowdfunding!G539="failed",Crowdfunding!H539,0)</f>
        <v>0</v>
      </c>
    </row>
    <row r="540" spans="1:4" x14ac:dyDescent="0.25">
      <c r="A540" t="str">
        <f>IF(Crowdfunding!G540="successful","successful","")</f>
        <v/>
      </c>
      <c r="B540">
        <f>IF(Crowdfunding!G540="successful",Crowdfunding!H540,0)</f>
        <v>0</v>
      </c>
      <c r="C540" t="str">
        <f>IF(Crowdfunding!G540="failed","failed","")</f>
        <v>failed</v>
      </c>
      <c r="D540">
        <f>IF(Crowdfunding!G540="failed",Crowdfunding!H540,0)</f>
        <v>1296</v>
      </c>
    </row>
    <row r="541" spans="1:4" x14ac:dyDescent="0.25">
      <c r="A541" t="str">
        <f>IF(Crowdfunding!G541="successful","successful","")</f>
        <v/>
      </c>
      <c r="B541">
        <f>IF(Crowdfunding!G541="successful",Crowdfunding!H541,0)</f>
        <v>0</v>
      </c>
      <c r="C541" t="str">
        <f>IF(Crowdfunding!G541="failed","failed","")</f>
        <v>failed</v>
      </c>
      <c r="D541">
        <f>IF(Crowdfunding!G541="failed",Crowdfunding!H541,0)</f>
        <v>77</v>
      </c>
    </row>
    <row r="542" spans="1:4" x14ac:dyDescent="0.25">
      <c r="A542" t="str">
        <f>IF(Crowdfunding!G542="successful","successful","")</f>
        <v>successful</v>
      </c>
      <c r="B542">
        <f>IF(Crowdfunding!G542="successful",Crowdfunding!H542,0)</f>
        <v>247</v>
      </c>
      <c r="C542" t="str">
        <f>IF(Crowdfunding!G542="failed","failed","")</f>
        <v/>
      </c>
      <c r="D542">
        <f>IF(Crowdfunding!G542="failed",Crowdfunding!H542,0)</f>
        <v>0</v>
      </c>
    </row>
    <row r="543" spans="1:4" x14ac:dyDescent="0.25">
      <c r="A543" t="str">
        <f>IF(Crowdfunding!G543="successful","successful","")</f>
        <v/>
      </c>
      <c r="B543">
        <f>IF(Crowdfunding!G543="successful",Crowdfunding!H543,0)</f>
        <v>0</v>
      </c>
      <c r="C543" t="str">
        <f>IF(Crowdfunding!G543="failed","failed","")</f>
        <v>failed</v>
      </c>
      <c r="D543">
        <f>IF(Crowdfunding!G543="failed",Crowdfunding!H543,0)</f>
        <v>395</v>
      </c>
    </row>
    <row r="544" spans="1:4" x14ac:dyDescent="0.25">
      <c r="A544" t="str">
        <f>IF(Crowdfunding!G544="successful","successful","")</f>
        <v/>
      </c>
      <c r="B544">
        <f>IF(Crowdfunding!G544="successful",Crowdfunding!H544,0)</f>
        <v>0</v>
      </c>
      <c r="C544" t="str">
        <f>IF(Crowdfunding!G544="failed","failed","")</f>
        <v>failed</v>
      </c>
      <c r="D544">
        <f>IF(Crowdfunding!G544="failed",Crowdfunding!H544,0)</f>
        <v>49</v>
      </c>
    </row>
    <row r="545" spans="1:4" x14ac:dyDescent="0.25">
      <c r="A545" t="str">
        <f>IF(Crowdfunding!G545="successful","successful","")</f>
        <v/>
      </c>
      <c r="B545">
        <f>IF(Crowdfunding!G545="successful",Crowdfunding!H545,0)</f>
        <v>0</v>
      </c>
      <c r="C545" t="str">
        <f>IF(Crowdfunding!G545="failed","failed","")</f>
        <v>failed</v>
      </c>
      <c r="D545">
        <f>IF(Crowdfunding!G545="failed",Crowdfunding!H545,0)</f>
        <v>180</v>
      </c>
    </row>
    <row r="546" spans="1:4" x14ac:dyDescent="0.25">
      <c r="A546" t="str">
        <f>IF(Crowdfunding!G546="successful","successful","")</f>
        <v>successful</v>
      </c>
      <c r="B546">
        <f>IF(Crowdfunding!G546="successful",Crowdfunding!H546,0)</f>
        <v>84</v>
      </c>
      <c r="C546" t="str">
        <f>IF(Crowdfunding!G546="failed","failed","")</f>
        <v/>
      </c>
      <c r="D546">
        <f>IF(Crowdfunding!G546="failed",Crowdfunding!H546,0)</f>
        <v>0</v>
      </c>
    </row>
    <row r="547" spans="1:4" x14ac:dyDescent="0.25">
      <c r="A547" t="str">
        <f>IF(Crowdfunding!G547="successful","successful","")</f>
        <v/>
      </c>
      <c r="B547">
        <f>IF(Crowdfunding!G547="successful",Crowdfunding!H547,0)</f>
        <v>0</v>
      </c>
      <c r="C547" t="str">
        <f>IF(Crowdfunding!G547="failed","failed","")</f>
        <v>failed</v>
      </c>
      <c r="D547">
        <f>IF(Crowdfunding!G547="failed",Crowdfunding!H547,0)</f>
        <v>2690</v>
      </c>
    </row>
    <row r="548" spans="1:4" x14ac:dyDescent="0.25">
      <c r="A548" t="str">
        <f>IF(Crowdfunding!G548="successful","successful","")</f>
        <v>successful</v>
      </c>
      <c r="B548">
        <f>IF(Crowdfunding!G548="successful",Crowdfunding!H548,0)</f>
        <v>88</v>
      </c>
      <c r="C548" t="str">
        <f>IF(Crowdfunding!G548="failed","failed","")</f>
        <v/>
      </c>
      <c r="D548">
        <f>IF(Crowdfunding!G548="failed",Crowdfunding!H548,0)</f>
        <v>0</v>
      </c>
    </row>
    <row r="549" spans="1:4" x14ac:dyDescent="0.25">
      <c r="A549" t="str">
        <f>IF(Crowdfunding!G549="successful","successful","")</f>
        <v>successful</v>
      </c>
      <c r="B549">
        <f>IF(Crowdfunding!G549="successful",Crowdfunding!H549,0)</f>
        <v>156</v>
      </c>
      <c r="C549" t="str">
        <f>IF(Crowdfunding!G549="failed","failed","")</f>
        <v/>
      </c>
      <c r="D549">
        <f>IF(Crowdfunding!G549="failed",Crowdfunding!H549,0)</f>
        <v>0</v>
      </c>
    </row>
    <row r="550" spans="1:4" x14ac:dyDescent="0.25">
      <c r="A550" t="str">
        <f>IF(Crowdfunding!G550="successful","successful","")</f>
        <v>successful</v>
      </c>
      <c r="B550">
        <f>IF(Crowdfunding!G550="successful",Crowdfunding!H550,0)</f>
        <v>2985</v>
      </c>
      <c r="C550" t="str">
        <f>IF(Crowdfunding!G550="failed","failed","")</f>
        <v/>
      </c>
      <c r="D550">
        <f>IF(Crowdfunding!G550="failed",Crowdfunding!H550,0)</f>
        <v>0</v>
      </c>
    </row>
    <row r="551" spans="1:4" x14ac:dyDescent="0.25">
      <c r="A551" t="str">
        <f>IF(Crowdfunding!G551="successful","successful","")</f>
        <v>successful</v>
      </c>
      <c r="B551">
        <f>IF(Crowdfunding!G551="successful",Crowdfunding!H551,0)</f>
        <v>762</v>
      </c>
      <c r="C551" t="str">
        <f>IF(Crowdfunding!G551="failed","failed","")</f>
        <v/>
      </c>
      <c r="D551">
        <f>IF(Crowdfunding!G551="failed",Crowdfunding!H551,0)</f>
        <v>0</v>
      </c>
    </row>
    <row r="552" spans="1:4" x14ac:dyDescent="0.25">
      <c r="A552" t="str">
        <f>IF(Crowdfunding!G552="successful","successful","")</f>
        <v/>
      </c>
      <c r="B552">
        <f>IF(Crowdfunding!G552="successful",Crowdfunding!H552,0)</f>
        <v>0</v>
      </c>
      <c r="C552" t="str">
        <f>IF(Crowdfunding!G552="failed","failed","")</f>
        <v/>
      </c>
      <c r="D552">
        <f>IF(Crowdfunding!G552="failed",Crowdfunding!H552,0)</f>
        <v>0</v>
      </c>
    </row>
    <row r="553" spans="1:4" x14ac:dyDescent="0.25">
      <c r="A553" t="str">
        <f>IF(Crowdfunding!G553="successful","successful","")</f>
        <v/>
      </c>
      <c r="B553">
        <f>IF(Crowdfunding!G553="successful",Crowdfunding!H553,0)</f>
        <v>0</v>
      </c>
      <c r="C553" t="str">
        <f>IF(Crowdfunding!G553="failed","failed","")</f>
        <v>failed</v>
      </c>
      <c r="D553">
        <f>IF(Crowdfunding!G553="failed",Crowdfunding!H553,0)</f>
        <v>2779</v>
      </c>
    </row>
    <row r="554" spans="1:4" x14ac:dyDescent="0.25">
      <c r="A554" t="str">
        <f>IF(Crowdfunding!G554="successful","successful","")</f>
        <v/>
      </c>
      <c r="B554">
        <f>IF(Crowdfunding!G554="successful",Crowdfunding!H554,0)</f>
        <v>0</v>
      </c>
      <c r="C554" t="str">
        <f>IF(Crowdfunding!G554="failed","failed","")</f>
        <v>failed</v>
      </c>
      <c r="D554">
        <f>IF(Crowdfunding!G554="failed",Crowdfunding!H554,0)</f>
        <v>92</v>
      </c>
    </row>
    <row r="555" spans="1:4" x14ac:dyDescent="0.25">
      <c r="A555" t="str">
        <f>IF(Crowdfunding!G555="successful","successful","")</f>
        <v/>
      </c>
      <c r="B555">
        <f>IF(Crowdfunding!G555="successful",Crowdfunding!H555,0)</f>
        <v>0</v>
      </c>
      <c r="C555" t="str">
        <f>IF(Crowdfunding!G555="failed","failed","")</f>
        <v>failed</v>
      </c>
      <c r="D555">
        <f>IF(Crowdfunding!G555="failed",Crowdfunding!H555,0)</f>
        <v>1028</v>
      </c>
    </row>
    <row r="556" spans="1:4" x14ac:dyDescent="0.25">
      <c r="A556" t="str">
        <f>IF(Crowdfunding!G556="successful","successful","")</f>
        <v>successful</v>
      </c>
      <c r="B556">
        <f>IF(Crowdfunding!G556="successful",Crowdfunding!H556,0)</f>
        <v>554</v>
      </c>
      <c r="C556" t="str">
        <f>IF(Crowdfunding!G556="failed","failed","")</f>
        <v/>
      </c>
      <c r="D556">
        <f>IF(Crowdfunding!G556="failed",Crowdfunding!H556,0)</f>
        <v>0</v>
      </c>
    </row>
    <row r="557" spans="1:4" x14ac:dyDescent="0.25">
      <c r="A557" t="str">
        <f>IF(Crowdfunding!G557="successful","successful","")</f>
        <v>successful</v>
      </c>
      <c r="B557">
        <f>IF(Crowdfunding!G557="successful",Crowdfunding!H557,0)</f>
        <v>135</v>
      </c>
      <c r="C557" t="str">
        <f>IF(Crowdfunding!G557="failed","failed","")</f>
        <v/>
      </c>
      <c r="D557">
        <f>IF(Crowdfunding!G557="failed",Crowdfunding!H557,0)</f>
        <v>0</v>
      </c>
    </row>
    <row r="558" spans="1:4" x14ac:dyDescent="0.25">
      <c r="A558" t="str">
        <f>IF(Crowdfunding!G558="successful","successful","")</f>
        <v>successful</v>
      </c>
      <c r="B558">
        <f>IF(Crowdfunding!G558="successful",Crowdfunding!H558,0)</f>
        <v>122</v>
      </c>
      <c r="C558" t="str">
        <f>IF(Crowdfunding!G558="failed","failed","")</f>
        <v/>
      </c>
      <c r="D558">
        <f>IF(Crowdfunding!G558="failed",Crowdfunding!H558,0)</f>
        <v>0</v>
      </c>
    </row>
    <row r="559" spans="1:4" x14ac:dyDescent="0.25">
      <c r="A559" t="str">
        <f>IF(Crowdfunding!G559="successful","successful","")</f>
        <v>successful</v>
      </c>
      <c r="B559">
        <f>IF(Crowdfunding!G559="successful",Crowdfunding!H559,0)</f>
        <v>221</v>
      </c>
      <c r="C559" t="str">
        <f>IF(Crowdfunding!G559="failed","failed","")</f>
        <v/>
      </c>
      <c r="D559">
        <f>IF(Crowdfunding!G559="failed",Crowdfunding!H559,0)</f>
        <v>0</v>
      </c>
    </row>
    <row r="560" spans="1:4" x14ac:dyDescent="0.25">
      <c r="A560" t="str">
        <f>IF(Crowdfunding!G560="successful","successful","")</f>
        <v>successful</v>
      </c>
      <c r="B560">
        <f>IF(Crowdfunding!G560="successful",Crowdfunding!H560,0)</f>
        <v>126</v>
      </c>
      <c r="C560" t="str">
        <f>IF(Crowdfunding!G560="failed","failed","")</f>
        <v/>
      </c>
      <c r="D560">
        <f>IF(Crowdfunding!G560="failed",Crowdfunding!H560,0)</f>
        <v>0</v>
      </c>
    </row>
    <row r="561" spans="1:4" x14ac:dyDescent="0.25">
      <c r="A561" t="str">
        <f>IF(Crowdfunding!G561="successful","successful","")</f>
        <v>successful</v>
      </c>
      <c r="B561">
        <f>IF(Crowdfunding!G561="successful",Crowdfunding!H561,0)</f>
        <v>1022</v>
      </c>
      <c r="C561" t="str">
        <f>IF(Crowdfunding!G561="failed","failed","")</f>
        <v/>
      </c>
      <c r="D561">
        <f>IF(Crowdfunding!G561="failed",Crowdfunding!H561,0)</f>
        <v>0</v>
      </c>
    </row>
    <row r="562" spans="1:4" x14ac:dyDescent="0.25">
      <c r="A562" t="str">
        <f>IF(Crowdfunding!G562="successful","successful","")</f>
        <v>successful</v>
      </c>
      <c r="B562">
        <f>IF(Crowdfunding!G562="successful",Crowdfunding!H562,0)</f>
        <v>3177</v>
      </c>
      <c r="C562" t="str">
        <f>IF(Crowdfunding!G562="failed","failed","")</f>
        <v/>
      </c>
      <c r="D562">
        <f>IF(Crowdfunding!G562="failed",Crowdfunding!H562,0)</f>
        <v>0</v>
      </c>
    </row>
    <row r="563" spans="1:4" x14ac:dyDescent="0.25">
      <c r="A563" t="str">
        <f>IF(Crowdfunding!G563="successful","successful","")</f>
        <v>successful</v>
      </c>
      <c r="B563">
        <f>IF(Crowdfunding!G563="successful",Crowdfunding!H563,0)</f>
        <v>198</v>
      </c>
      <c r="C563" t="str">
        <f>IF(Crowdfunding!G563="failed","failed","")</f>
        <v/>
      </c>
      <c r="D563">
        <f>IF(Crowdfunding!G563="failed",Crowdfunding!H563,0)</f>
        <v>0</v>
      </c>
    </row>
    <row r="564" spans="1:4" x14ac:dyDescent="0.25">
      <c r="A564" t="str">
        <f>IF(Crowdfunding!G564="successful","successful","")</f>
        <v/>
      </c>
      <c r="B564">
        <f>IF(Crowdfunding!G564="successful",Crowdfunding!H564,0)</f>
        <v>0</v>
      </c>
      <c r="C564" t="str">
        <f>IF(Crowdfunding!G564="failed","failed","")</f>
        <v>failed</v>
      </c>
      <c r="D564">
        <f>IF(Crowdfunding!G564="failed",Crowdfunding!H564,0)</f>
        <v>26</v>
      </c>
    </row>
    <row r="565" spans="1:4" x14ac:dyDescent="0.25">
      <c r="A565" t="str">
        <f>IF(Crowdfunding!G565="successful","successful","")</f>
        <v>successful</v>
      </c>
      <c r="B565">
        <f>IF(Crowdfunding!G565="successful",Crowdfunding!H565,0)</f>
        <v>85</v>
      </c>
      <c r="C565" t="str">
        <f>IF(Crowdfunding!G565="failed","failed","")</f>
        <v/>
      </c>
      <c r="D565">
        <f>IF(Crowdfunding!G565="failed",Crowdfunding!H565,0)</f>
        <v>0</v>
      </c>
    </row>
    <row r="566" spans="1:4" x14ac:dyDescent="0.25">
      <c r="A566" t="str">
        <f>IF(Crowdfunding!G566="successful","successful","")</f>
        <v/>
      </c>
      <c r="B566">
        <f>IF(Crowdfunding!G566="successful",Crowdfunding!H566,0)</f>
        <v>0</v>
      </c>
      <c r="C566" t="str">
        <f>IF(Crowdfunding!G566="failed","failed","")</f>
        <v>failed</v>
      </c>
      <c r="D566">
        <f>IF(Crowdfunding!G566="failed",Crowdfunding!H566,0)</f>
        <v>1790</v>
      </c>
    </row>
    <row r="567" spans="1:4" x14ac:dyDescent="0.25">
      <c r="A567" t="str">
        <f>IF(Crowdfunding!G567="successful","successful","")</f>
        <v>successful</v>
      </c>
      <c r="B567">
        <f>IF(Crowdfunding!G567="successful",Crowdfunding!H567,0)</f>
        <v>3596</v>
      </c>
      <c r="C567" t="str">
        <f>IF(Crowdfunding!G567="failed","failed","")</f>
        <v/>
      </c>
      <c r="D567">
        <f>IF(Crowdfunding!G567="failed",Crowdfunding!H567,0)</f>
        <v>0</v>
      </c>
    </row>
    <row r="568" spans="1:4" x14ac:dyDescent="0.25">
      <c r="A568" t="str">
        <f>IF(Crowdfunding!G568="successful","successful","")</f>
        <v/>
      </c>
      <c r="B568">
        <f>IF(Crowdfunding!G568="successful",Crowdfunding!H568,0)</f>
        <v>0</v>
      </c>
      <c r="C568" t="str">
        <f>IF(Crowdfunding!G568="failed","failed","")</f>
        <v>failed</v>
      </c>
      <c r="D568">
        <f>IF(Crowdfunding!G568="failed",Crowdfunding!H568,0)</f>
        <v>37</v>
      </c>
    </row>
    <row r="569" spans="1:4" x14ac:dyDescent="0.25">
      <c r="A569" t="str">
        <f>IF(Crowdfunding!G569="successful","successful","")</f>
        <v>successful</v>
      </c>
      <c r="B569">
        <f>IF(Crowdfunding!G569="successful",Crowdfunding!H569,0)</f>
        <v>244</v>
      </c>
      <c r="C569" t="str">
        <f>IF(Crowdfunding!G569="failed","failed","")</f>
        <v/>
      </c>
      <c r="D569">
        <f>IF(Crowdfunding!G569="failed",Crowdfunding!H569,0)</f>
        <v>0</v>
      </c>
    </row>
    <row r="570" spans="1:4" x14ac:dyDescent="0.25">
      <c r="A570" t="str">
        <f>IF(Crowdfunding!G570="successful","successful","")</f>
        <v>successful</v>
      </c>
      <c r="B570">
        <f>IF(Crowdfunding!G570="successful",Crowdfunding!H570,0)</f>
        <v>5180</v>
      </c>
      <c r="C570" t="str">
        <f>IF(Crowdfunding!G570="failed","failed","")</f>
        <v/>
      </c>
      <c r="D570">
        <f>IF(Crowdfunding!G570="failed",Crowdfunding!H570,0)</f>
        <v>0</v>
      </c>
    </row>
    <row r="571" spans="1:4" x14ac:dyDescent="0.25">
      <c r="A571" t="str">
        <f>IF(Crowdfunding!G571="successful","successful","")</f>
        <v>successful</v>
      </c>
      <c r="B571">
        <f>IF(Crowdfunding!G571="successful",Crowdfunding!H571,0)</f>
        <v>589</v>
      </c>
      <c r="C571" t="str">
        <f>IF(Crowdfunding!G571="failed","failed","")</f>
        <v/>
      </c>
      <c r="D571">
        <f>IF(Crowdfunding!G571="failed",Crowdfunding!H571,0)</f>
        <v>0</v>
      </c>
    </row>
    <row r="572" spans="1:4" x14ac:dyDescent="0.25">
      <c r="A572" t="str">
        <f>IF(Crowdfunding!G572="successful","successful","")</f>
        <v>successful</v>
      </c>
      <c r="B572">
        <f>IF(Crowdfunding!G572="successful",Crowdfunding!H572,0)</f>
        <v>2725</v>
      </c>
      <c r="C572" t="str">
        <f>IF(Crowdfunding!G572="failed","failed","")</f>
        <v/>
      </c>
      <c r="D572">
        <f>IF(Crowdfunding!G572="failed",Crowdfunding!H572,0)</f>
        <v>0</v>
      </c>
    </row>
    <row r="573" spans="1:4" x14ac:dyDescent="0.25">
      <c r="A573" t="str">
        <f>IF(Crowdfunding!G573="successful","successful","")</f>
        <v/>
      </c>
      <c r="B573">
        <f>IF(Crowdfunding!G573="successful",Crowdfunding!H573,0)</f>
        <v>0</v>
      </c>
      <c r="C573" t="str">
        <f>IF(Crowdfunding!G573="failed","failed","")</f>
        <v>failed</v>
      </c>
      <c r="D573">
        <f>IF(Crowdfunding!G573="failed",Crowdfunding!H573,0)</f>
        <v>35</v>
      </c>
    </row>
    <row r="574" spans="1:4" x14ac:dyDescent="0.25">
      <c r="A574" t="str">
        <f>IF(Crowdfunding!G574="successful","successful","")</f>
        <v/>
      </c>
      <c r="B574">
        <f>IF(Crowdfunding!G574="successful",Crowdfunding!H574,0)</f>
        <v>0</v>
      </c>
      <c r="C574" t="str">
        <f>IF(Crowdfunding!G574="failed","failed","")</f>
        <v/>
      </c>
      <c r="D574">
        <f>IF(Crowdfunding!G574="failed",Crowdfunding!H574,0)</f>
        <v>0</v>
      </c>
    </row>
    <row r="575" spans="1:4" x14ac:dyDescent="0.25">
      <c r="A575" t="str">
        <f>IF(Crowdfunding!G575="successful","successful","")</f>
        <v>successful</v>
      </c>
      <c r="B575">
        <f>IF(Crowdfunding!G575="successful",Crowdfunding!H575,0)</f>
        <v>300</v>
      </c>
      <c r="C575" t="str">
        <f>IF(Crowdfunding!G575="failed","failed","")</f>
        <v/>
      </c>
      <c r="D575">
        <f>IF(Crowdfunding!G575="failed",Crowdfunding!H575,0)</f>
        <v>0</v>
      </c>
    </row>
    <row r="576" spans="1:4" x14ac:dyDescent="0.25">
      <c r="A576" t="str">
        <f>IF(Crowdfunding!G576="successful","successful","")</f>
        <v>successful</v>
      </c>
      <c r="B576">
        <f>IF(Crowdfunding!G576="successful",Crowdfunding!H576,0)</f>
        <v>144</v>
      </c>
      <c r="C576" t="str">
        <f>IF(Crowdfunding!G576="failed","failed","")</f>
        <v/>
      </c>
      <c r="D576">
        <f>IF(Crowdfunding!G576="failed",Crowdfunding!H576,0)</f>
        <v>0</v>
      </c>
    </row>
    <row r="577" spans="1:4" x14ac:dyDescent="0.25">
      <c r="A577" t="str">
        <f>IF(Crowdfunding!G577="successful","successful","")</f>
        <v/>
      </c>
      <c r="B577">
        <f>IF(Crowdfunding!G577="successful",Crowdfunding!H577,0)</f>
        <v>0</v>
      </c>
      <c r="C577" t="str">
        <f>IF(Crowdfunding!G577="failed","failed","")</f>
        <v>failed</v>
      </c>
      <c r="D577">
        <f>IF(Crowdfunding!G577="failed",Crowdfunding!H577,0)</f>
        <v>558</v>
      </c>
    </row>
    <row r="578" spans="1:4" x14ac:dyDescent="0.25">
      <c r="A578" t="str">
        <f>IF(Crowdfunding!G578="successful","successful","")</f>
        <v/>
      </c>
      <c r="B578">
        <f>IF(Crowdfunding!G578="successful",Crowdfunding!H578,0)</f>
        <v>0</v>
      </c>
      <c r="C578" t="str">
        <f>IF(Crowdfunding!G578="failed","failed","")</f>
        <v>failed</v>
      </c>
      <c r="D578">
        <f>IF(Crowdfunding!G578="failed",Crowdfunding!H578,0)</f>
        <v>64</v>
      </c>
    </row>
    <row r="579" spans="1:4" x14ac:dyDescent="0.25">
      <c r="A579" t="str">
        <f>IF(Crowdfunding!G579="successful","successful","")</f>
        <v/>
      </c>
      <c r="B579">
        <f>IF(Crowdfunding!G579="successful",Crowdfunding!H579,0)</f>
        <v>0</v>
      </c>
      <c r="C579" t="str">
        <f>IF(Crowdfunding!G579="failed","failed","")</f>
        <v/>
      </c>
      <c r="D579">
        <f>IF(Crowdfunding!G579="failed",Crowdfunding!H579,0)</f>
        <v>0</v>
      </c>
    </row>
    <row r="580" spans="1:4" x14ac:dyDescent="0.25">
      <c r="A580" t="str">
        <f>IF(Crowdfunding!G580="successful","successful","")</f>
        <v/>
      </c>
      <c r="B580">
        <f>IF(Crowdfunding!G580="successful",Crowdfunding!H580,0)</f>
        <v>0</v>
      </c>
      <c r="C580" t="str">
        <f>IF(Crowdfunding!G580="failed","failed","")</f>
        <v>failed</v>
      </c>
      <c r="D580">
        <f>IF(Crowdfunding!G580="failed",Crowdfunding!H580,0)</f>
        <v>245</v>
      </c>
    </row>
    <row r="581" spans="1:4" x14ac:dyDescent="0.25">
      <c r="A581" t="str">
        <f>IF(Crowdfunding!G581="successful","successful","")</f>
        <v>successful</v>
      </c>
      <c r="B581">
        <f>IF(Crowdfunding!G581="successful",Crowdfunding!H581,0)</f>
        <v>87</v>
      </c>
      <c r="C581" t="str">
        <f>IF(Crowdfunding!G581="failed","failed","")</f>
        <v/>
      </c>
      <c r="D581">
        <f>IF(Crowdfunding!G581="failed",Crowdfunding!H581,0)</f>
        <v>0</v>
      </c>
    </row>
    <row r="582" spans="1:4" x14ac:dyDescent="0.25">
      <c r="A582" t="str">
        <f>IF(Crowdfunding!G582="successful","successful","")</f>
        <v>successful</v>
      </c>
      <c r="B582">
        <f>IF(Crowdfunding!G582="successful",Crowdfunding!H582,0)</f>
        <v>3116</v>
      </c>
      <c r="C582" t="str">
        <f>IF(Crowdfunding!G582="failed","failed","")</f>
        <v/>
      </c>
      <c r="D582">
        <f>IF(Crowdfunding!G582="failed",Crowdfunding!H582,0)</f>
        <v>0</v>
      </c>
    </row>
    <row r="583" spans="1:4" x14ac:dyDescent="0.25">
      <c r="A583" t="str">
        <f>IF(Crowdfunding!G583="successful","successful","")</f>
        <v/>
      </c>
      <c r="B583">
        <f>IF(Crowdfunding!G583="successful",Crowdfunding!H583,0)</f>
        <v>0</v>
      </c>
      <c r="C583" t="str">
        <f>IF(Crowdfunding!G583="failed","failed","")</f>
        <v>failed</v>
      </c>
      <c r="D583">
        <f>IF(Crowdfunding!G583="failed",Crowdfunding!H583,0)</f>
        <v>71</v>
      </c>
    </row>
    <row r="584" spans="1:4" x14ac:dyDescent="0.25">
      <c r="A584" t="str">
        <f>IF(Crowdfunding!G584="successful","successful","")</f>
        <v/>
      </c>
      <c r="B584">
        <f>IF(Crowdfunding!G584="successful",Crowdfunding!H584,0)</f>
        <v>0</v>
      </c>
      <c r="C584" t="str">
        <f>IF(Crowdfunding!G584="failed","failed","")</f>
        <v>failed</v>
      </c>
      <c r="D584">
        <f>IF(Crowdfunding!G584="failed",Crowdfunding!H584,0)</f>
        <v>42</v>
      </c>
    </row>
    <row r="585" spans="1:4" x14ac:dyDescent="0.25">
      <c r="A585" t="str">
        <f>IF(Crowdfunding!G585="successful","successful","")</f>
        <v>successful</v>
      </c>
      <c r="B585">
        <f>IF(Crowdfunding!G585="successful",Crowdfunding!H585,0)</f>
        <v>909</v>
      </c>
      <c r="C585" t="str">
        <f>IF(Crowdfunding!G585="failed","failed","")</f>
        <v/>
      </c>
      <c r="D585">
        <f>IF(Crowdfunding!G585="failed",Crowdfunding!H585,0)</f>
        <v>0</v>
      </c>
    </row>
    <row r="586" spans="1:4" x14ac:dyDescent="0.25">
      <c r="A586" t="str">
        <f>IF(Crowdfunding!G586="successful","successful","")</f>
        <v>successful</v>
      </c>
      <c r="B586">
        <f>IF(Crowdfunding!G586="successful",Crowdfunding!H586,0)</f>
        <v>1613</v>
      </c>
      <c r="C586" t="str">
        <f>IF(Crowdfunding!G586="failed","failed","")</f>
        <v/>
      </c>
      <c r="D586">
        <f>IF(Crowdfunding!G586="failed",Crowdfunding!H586,0)</f>
        <v>0</v>
      </c>
    </row>
    <row r="587" spans="1:4" x14ac:dyDescent="0.25">
      <c r="A587" t="str">
        <f>IF(Crowdfunding!G587="successful","successful","")</f>
        <v>successful</v>
      </c>
      <c r="B587">
        <f>IF(Crowdfunding!G587="successful",Crowdfunding!H587,0)</f>
        <v>136</v>
      </c>
      <c r="C587" t="str">
        <f>IF(Crowdfunding!G587="failed","failed","")</f>
        <v/>
      </c>
      <c r="D587">
        <f>IF(Crowdfunding!G587="failed",Crowdfunding!H587,0)</f>
        <v>0</v>
      </c>
    </row>
    <row r="588" spans="1:4" x14ac:dyDescent="0.25">
      <c r="A588" t="str">
        <f>IF(Crowdfunding!G588="successful","successful","")</f>
        <v>successful</v>
      </c>
      <c r="B588">
        <f>IF(Crowdfunding!G588="successful",Crowdfunding!H588,0)</f>
        <v>130</v>
      </c>
      <c r="C588" t="str">
        <f>IF(Crowdfunding!G588="failed","failed","")</f>
        <v/>
      </c>
      <c r="D588">
        <f>IF(Crowdfunding!G588="failed",Crowdfunding!H588,0)</f>
        <v>0</v>
      </c>
    </row>
    <row r="589" spans="1:4" x14ac:dyDescent="0.25">
      <c r="A589" t="str">
        <f>IF(Crowdfunding!G589="successful","successful","")</f>
        <v/>
      </c>
      <c r="B589">
        <f>IF(Crowdfunding!G589="successful",Crowdfunding!H589,0)</f>
        <v>0</v>
      </c>
      <c r="C589" t="str">
        <f>IF(Crowdfunding!G589="failed","failed","")</f>
        <v>failed</v>
      </c>
      <c r="D589">
        <f>IF(Crowdfunding!G589="failed",Crowdfunding!H589,0)</f>
        <v>156</v>
      </c>
    </row>
    <row r="590" spans="1:4" x14ac:dyDescent="0.25">
      <c r="A590" t="str">
        <f>IF(Crowdfunding!G590="successful","successful","")</f>
        <v/>
      </c>
      <c r="B590">
        <f>IF(Crowdfunding!G590="successful",Crowdfunding!H590,0)</f>
        <v>0</v>
      </c>
      <c r="C590" t="str">
        <f>IF(Crowdfunding!G590="failed","failed","")</f>
        <v>failed</v>
      </c>
      <c r="D590">
        <f>IF(Crowdfunding!G590="failed",Crowdfunding!H590,0)</f>
        <v>1368</v>
      </c>
    </row>
    <row r="591" spans="1:4" x14ac:dyDescent="0.25">
      <c r="A591" t="str">
        <f>IF(Crowdfunding!G591="successful","successful","")</f>
        <v/>
      </c>
      <c r="B591">
        <f>IF(Crowdfunding!G591="successful",Crowdfunding!H591,0)</f>
        <v>0</v>
      </c>
      <c r="C591" t="str">
        <f>IF(Crowdfunding!G591="failed","failed","")</f>
        <v>failed</v>
      </c>
      <c r="D591">
        <f>IF(Crowdfunding!G591="failed",Crowdfunding!H591,0)</f>
        <v>102</v>
      </c>
    </row>
    <row r="592" spans="1:4" x14ac:dyDescent="0.25">
      <c r="A592" t="str">
        <f>IF(Crowdfunding!G592="successful","successful","")</f>
        <v/>
      </c>
      <c r="B592">
        <f>IF(Crowdfunding!G592="successful",Crowdfunding!H592,0)</f>
        <v>0</v>
      </c>
      <c r="C592" t="str">
        <f>IF(Crowdfunding!G592="failed","failed","")</f>
        <v>failed</v>
      </c>
      <c r="D592">
        <f>IF(Crowdfunding!G592="failed",Crowdfunding!H592,0)</f>
        <v>86</v>
      </c>
    </row>
    <row r="593" spans="1:4" x14ac:dyDescent="0.25">
      <c r="A593" t="str">
        <f>IF(Crowdfunding!G593="successful","successful","")</f>
        <v>successful</v>
      </c>
      <c r="B593">
        <f>IF(Crowdfunding!G593="successful",Crowdfunding!H593,0)</f>
        <v>102</v>
      </c>
      <c r="C593" t="str">
        <f>IF(Crowdfunding!G593="failed","failed","")</f>
        <v/>
      </c>
      <c r="D593">
        <f>IF(Crowdfunding!G593="failed",Crowdfunding!H593,0)</f>
        <v>0</v>
      </c>
    </row>
    <row r="594" spans="1:4" x14ac:dyDescent="0.25">
      <c r="A594" t="str">
        <f>IF(Crowdfunding!G594="successful","successful","")</f>
        <v/>
      </c>
      <c r="B594">
        <f>IF(Crowdfunding!G594="successful",Crowdfunding!H594,0)</f>
        <v>0</v>
      </c>
      <c r="C594" t="str">
        <f>IF(Crowdfunding!G594="failed","failed","")</f>
        <v>failed</v>
      </c>
      <c r="D594">
        <f>IF(Crowdfunding!G594="failed",Crowdfunding!H594,0)</f>
        <v>253</v>
      </c>
    </row>
    <row r="595" spans="1:4" x14ac:dyDescent="0.25">
      <c r="A595" t="str">
        <f>IF(Crowdfunding!G595="successful","successful","")</f>
        <v>successful</v>
      </c>
      <c r="B595">
        <f>IF(Crowdfunding!G595="successful",Crowdfunding!H595,0)</f>
        <v>4006</v>
      </c>
      <c r="C595" t="str">
        <f>IF(Crowdfunding!G595="failed","failed","")</f>
        <v/>
      </c>
      <c r="D595">
        <f>IF(Crowdfunding!G595="failed",Crowdfunding!H595,0)</f>
        <v>0</v>
      </c>
    </row>
    <row r="596" spans="1:4" x14ac:dyDescent="0.25">
      <c r="A596" t="str">
        <f>IF(Crowdfunding!G596="successful","successful","")</f>
        <v/>
      </c>
      <c r="B596">
        <f>IF(Crowdfunding!G596="successful",Crowdfunding!H596,0)</f>
        <v>0</v>
      </c>
      <c r="C596" t="str">
        <f>IF(Crowdfunding!G596="failed","failed","")</f>
        <v>failed</v>
      </c>
      <c r="D596">
        <f>IF(Crowdfunding!G596="failed",Crowdfunding!H596,0)</f>
        <v>157</v>
      </c>
    </row>
    <row r="597" spans="1:4" x14ac:dyDescent="0.25">
      <c r="A597" t="str">
        <f>IF(Crowdfunding!G597="successful","successful","")</f>
        <v>successful</v>
      </c>
      <c r="B597">
        <f>IF(Crowdfunding!G597="successful",Crowdfunding!H597,0)</f>
        <v>1629</v>
      </c>
      <c r="C597" t="str">
        <f>IF(Crowdfunding!G597="failed","failed","")</f>
        <v/>
      </c>
      <c r="D597">
        <f>IF(Crowdfunding!G597="failed",Crowdfunding!H597,0)</f>
        <v>0</v>
      </c>
    </row>
    <row r="598" spans="1:4" x14ac:dyDescent="0.25">
      <c r="A598" t="str">
        <f>IF(Crowdfunding!G598="successful","successful","")</f>
        <v/>
      </c>
      <c r="B598">
        <f>IF(Crowdfunding!G598="successful",Crowdfunding!H598,0)</f>
        <v>0</v>
      </c>
      <c r="C598" t="str">
        <f>IF(Crowdfunding!G598="failed","failed","")</f>
        <v>failed</v>
      </c>
      <c r="D598">
        <f>IF(Crowdfunding!G598="failed",Crowdfunding!H598,0)</f>
        <v>183</v>
      </c>
    </row>
    <row r="599" spans="1:4" x14ac:dyDescent="0.25">
      <c r="A599" t="str">
        <f>IF(Crowdfunding!G599="successful","successful","")</f>
        <v>successful</v>
      </c>
      <c r="B599">
        <f>IF(Crowdfunding!G599="successful",Crowdfunding!H599,0)</f>
        <v>2188</v>
      </c>
      <c r="C599" t="str">
        <f>IF(Crowdfunding!G599="failed","failed","")</f>
        <v/>
      </c>
      <c r="D599">
        <f>IF(Crowdfunding!G599="failed",Crowdfunding!H599,0)</f>
        <v>0</v>
      </c>
    </row>
    <row r="600" spans="1:4" x14ac:dyDescent="0.25">
      <c r="A600" t="str">
        <f>IF(Crowdfunding!G600="successful","successful","")</f>
        <v>successful</v>
      </c>
      <c r="B600">
        <f>IF(Crowdfunding!G600="successful",Crowdfunding!H600,0)</f>
        <v>2409</v>
      </c>
      <c r="C600" t="str">
        <f>IF(Crowdfunding!G600="failed","failed","")</f>
        <v/>
      </c>
      <c r="D600">
        <f>IF(Crowdfunding!G600="failed",Crowdfunding!H600,0)</f>
        <v>0</v>
      </c>
    </row>
    <row r="601" spans="1:4" x14ac:dyDescent="0.25">
      <c r="A601" t="str">
        <f>IF(Crowdfunding!G601="successful","successful","")</f>
        <v/>
      </c>
      <c r="B601">
        <f>IF(Crowdfunding!G601="successful",Crowdfunding!H601,0)</f>
        <v>0</v>
      </c>
      <c r="C601" t="str">
        <f>IF(Crowdfunding!G601="failed","failed","")</f>
        <v>failed</v>
      </c>
      <c r="D601">
        <f>IF(Crowdfunding!G601="failed",Crowdfunding!H601,0)</f>
        <v>82</v>
      </c>
    </row>
    <row r="602" spans="1:4" x14ac:dyDescent="0.25">
      <c r="A602" t="str">
        <f>IF(Crowdfunding!G602="successful","successful","")</f>
        <v/>
      </c>
      <c r="B602">
        <f>IF(Crowdfunding!G602="successful",Crowdfunding!H602,0)</f>
        <v>0</v>
      </c>
      <c r="C602" t="str">
        <f>IF(Crowdfunding!G602="failed","failed","")</f>
        <v>failed</v>
      </c>
      <c r="D602">
        <f>IF(Crowdfunding!G602="failed",Crowdfunding!H602,0)</f>
        <v>1</v>
      </c>
    </row>
    <row r="603" spans="1:4" x14ac:dyDescent="0.25">
      <c r="A603" t="str">
        <f>IF(Crowdfunding!G603="successful","successful","")</f>
        <v>successful</v>
      </c>
      <c r="B603">
        <f>IF(Crowdfunding!G603="successful",Crowdfunding!H603,0)</f>
        <v>194</v>
      </c>
      <c r="C603" t="str">
        <f>IF(Crowdfunding!G603="failed","failed","")</f>
        <v/>
      </c>
      <c r="D603">
        <f>IF(Crowdfunding!G603="failed",Crowdfunding!H603,0)</f>
        <v>0</v>
      </c>
    </row>
    <row r="604" spans="1:4" x14ac:dyDescent="0.25">
      <c r="A604" t="str">
        <f>IF(Crowdfunding!G604="successful","successful","")</f>
        <v>successful</v>
      </c>
      <c r="B604">
        <f>IF(Crowdfunding!G604="successful",Crowdfunding!H604,0)</f>
        <v>1140</v>
      </c>
      <c r="C604" t="str">
        <f>IF(Crowdfunding!G604="failed","failed","")</f>
        <v/>
      </c>
      <c r="D604">
        <f>IF(Crowdfunding!G604="failed",Crowdfunding!H604,0)</f>
        <v>0</v>
      </c>
    </row>
    <row r="605" spans="1:4" x14ac:dyDescent="0.25">
      <c r="A605" t="str">
        <f>IF(Crowdfunding!G605="successful","successful","")</f>
        <v>successful</v>
      </c>
      <c r="B605">
        <f>IF(Crowdfunding!G605="successful",Crowdfunding!H605,0)</f>
        <v>102</v>
      </c>
      <c r="C605" t="str">
        <f>IF(Crowdfunding!G605="failed","failed","")</f>
        <v/>
      </c>
      <c r="D605">
        <f>IF(Crowdfunding!G605="failed",Crowdfunding!H605,0)</f>
        <v>0</v>
      </c>
    </row>
    <row r="606" spans="1:4" x14ac:dyDescent="0.25">
      <c r="A606" t="str">
        <f>IF(Crowdfunding!G606="successful","successful","")</f>
        <v>successful</v>
      </c>
      <c r="B606">
        <f>IF(Crowdfunding!G606="successful",Crowdfunding!H606,0)</f>
        <v>2857</v>
      </c>
      <c r="C606" t="str">
        <f>IF(Crowdfunding!G606="failed","failed","")</f>
        <v/>
      </c>
      <c r="D606">
        <f>IF(Crowdfunding!G606="failed",Crowdfunding!H606,0)</f>
        <v>0</v>
      </c>
    </row>
    <row r="607" spans="1:4" x14ac:dyDescent="0.25">
      <c r="A607" t="str">
        <f>IF(Crowdfunding!G607="successful","successful","")</f>
        <v>successful</v>
      </c>
      <c r="B607">
        <f>IF(Crowdfunding!G607="successful",Crowdfunding!H607,0)</f>
        <v>107</v>
      </c>
      <c r="C607" t="str">
        <f>IF(Crowdfunding!G607="failed","failed","")</f>
        <v/>
      </c>
      <c r="D607">
        <f>IF(Crowdfunding!G607="failed",Crowdfunding!H607,0)</f>
        <v>0</v>
      </c>
    </row>
    <row r="608" spans="1:4" x14ac:dyDescent="0.25">
      <c r="A608" t="str">
        <f>IF(Crowdfunding!G608="successful","successful","")</f>
        <v>successful</v>
      </c>
      <c r="B608">
        <f>IF(Crowdfunding!G608="successful",Crowdfunding!H608,0)</f>
        <v>160</v>
      </c>
      <c r="C608" t="str">
        <f>IF(Crowdfunding!G608="failed","failed","")</f>
        <v/>
      </c>
      <c r="D608">
        <f>IF(Crowdfunding!G608="failed",Crowdfunding!H608,0)</f>
        <v>0</v>
      </c>
    </row>
    <row r="609" spans="1:4" x14ac:dyDescent="0.25">
      <c r="A609" t="str">
        <f>IF(Crowdfunding!G609="successful","successful","")</f>
        <v>successful</v>
      </c>
      <c r="B609">
        <f>IF(Crowdfunding!G609="successful",Crowdfunding!H609,0)</f>
        <v>2230</v>
      </c>
      <c r="C609" t="str">
        <f>IF(Crowdfunding!G609="failed","failed","")</f>
        <v/>
      </c>
      <c r="D609">
        <f>IF(Crowdfunding!G609="failed",Crowdfunding!H609,0)</f>
        <v>0</v>
      </c>
    </row>
    <row r="610" spans="1:4" x14ac:dyDescent="0.25">
      <c r="A610" t="str">
        <f>IF(Crowdfunding!G610="successful","successful","")</f>
        <v>successful</v>
      </c>
      <c r="B610">
        <f>IF(Crowdfunding!G610="successful",Crowdfunding!H610,0)</f>
        <v>316</v>
      </c>
      <c r="C610" t="str">
        <f>IF(Crowdfunding!G610="failed","failed","")</f>
        <v/>
      </c>
      <c r="D610">
        <f>IF(Crowdfunding!G610="failed",Crowdfunding!H610,0)</f>
        <v>0</v>
      </c>
    </row>
    <row r="611" spans="1:4" x14ac:dyDescent="0.25">
      <c r="A611" t="str">
        <f>IF(Crowdfunding!G611="successful","successful","")</f>
        <v>successful</v>
      </c>
      <c r="B611">
        <f>IF(Crowdfunding!G611="successful",Crowdfunding!H611,0)</f>
        <v>117</v>
      </c>
      <c r="C611" t="str">
        <f>IF(Crowdfunding!G611="failed","failed","")</f>
        <v/>
      </c>
      <c r="D611">
        <f>IF(Crowdfunding!G611="failed",Crowdfunding!H611,0)</f>
        <v>0</v>
      </c>
    </row>
    <row r="612" spans="1:4" x14ac:dyDescent="0.25">
      <c r="A612" t="str">
        <f>IF(Crowdfunding!G612="successful","successful","")</f>
        <v>successful</v>
      </c>
      <c r="B612">
        <f>IF(Crowdfunding!G612="successful",Crowdfunding!H612,0)</f>
        <v>6406</v>
      </c>
      <c r="C612" t="str">
        <f>IF(Crowdfunding!G612="failed","failed","")</f>
        <v/>
      </c>
      <c r="D612">
        <f>IF(Crowdfunding!G612="failed",Crowdfunding!H612,0)</f>
        <v>0</v>
      </c>
    </row>
    <row r="613" spans="1:4" x14ac:dyDescent="0.25">
      <c r="A613" t="str">
        <f>IF(Crowdfunding!G613="successful","successful","")</f>
        <v/>
      </c>
      <c r="B613">
        <f>IF(Crowdfunding!G613="successful",Crowdfunding!H613,0)</f>
        <v>0</v>
      </c>
      <c r="C613" t="str">
        <f>IF(Crowdfunding!G613="failed","failed","")</f>
        <v/>
      </c>
      <c r="D613">
        <f>IF(Crowdfunding!G613="failed",Crowdfunding!H613,0)</f>
        <v>0</v>
      </c>
    </row>
    <row r="614" spans="1:4" x14ac:dyDescent="0.25">
      <c r="A614" t="str">
        <f>IF(Crowdfunding!G614="successful","successful","")</f>
        <v>successful</v>
      </c>
      <c r="B614">
        <f>IF(Crowdfunding!G614="successful",Crowdfunding!H614,0)</f>
        <v>192</v>
      </c>
      <c r="C614" t="str">
        <f>IF(Crowdfunding!G614="failed","failed","")</f>
        <v/>
      </c>
      <c r="D614">
        <f>IF(Crowdfunding!G614="failed",Crowdfunding!H614,0)</f>
        <v>0</v>
      </c>
    </row>
    <row r="615" spans="1:4" x14ac:dyDescent="0.25">
      <c r="A615" t="str">
        <f>IF(Crowdfunding!G615="successful","successful","")</f>
        <v>successful</v>
      </c>
      <c r="B615">
        <f>IF(Crowdfunding!G615="successful",Crowdfunding!H615,0)</f>
        <v>26</v>
      </c>
      <c r="C615" t="str">
        <f>IF(Crowdfunding!G615="failed","failed","")</f>
        <v/>
      </c>
      <c r="D615">
        <f>IF(Crowdfunding!G615="failed",Crowdfunding!H615,0)</f>
        <v>0</v>
      </c>
    </row>
    <row r="616" spans="1:4" x14ac:dyDescent="0.25">
      <c r="A616" t="str">
        <f>IF(Crowdfunding!G616="successful","successful","")</f>
        <v>successful</v>
      </c>
      <c r="B616">
        <f>IF(Crowdfunding!G616="successful",Crowdfunding!H616,0)</f>
        <v>723</v>
      </c>
      <c r="C616" t="str">
        <f>IF(Crowdfunding!G616="failed","failed","")</f>
        <v/>
      </c>
      <c r="D616">
        <f>IF(Crowdfunding!G616="failed",Crowdfunding!H616,0)</f>
        <v>0</v>
      </c>
    </row>
    <row r="617" spans="1:4" x14ac:dyDescent="0.25">
      <c r="A617" t="str">
        <f>IF(Crowdfunding!G617="successful","successful","")</f>
        <v>successful</v>
      </c>
      <c r="B617">
        <f>IF(Crowdfunding!G617="successful",Crowdfunding!H617,0)</f>
        <v>170</v>
      </c>
      <c r="C617" t="str">
        <f>IF(Crowdfunding!G617="failed","failed","")</f>
        <v/>
      </c>
      <c r="D617">
        <f>IF(Crowdfunding!G617="failed",Crowdfunding!H617,0)</f>
        <v>0</v>
      </c>
    </row>
    <row r="618" spans="1:4" x14ac:dyDescent="0.25">
      <c r="A618" t="str">
        <f>IF(Crowdfunding!G618="successful","successful","")</f>
        <v>successful</v>
      </c>
      <c r="B618">
        <f>IF(Crowdfunding!G618="successful",Crowdfunding!H618,0)</f>
        <v>238</v>
      </c>
      <c r="C618" t="str">
        <f>IF(Crowdfunding!G618="failed","failed","")</f>
        <v/>
      </c>
      <c r="D618">
        <f>IF(Crowdfunding!G618="failed",Crowdfunding!H618,0)</f>
        <v>0</v>
      </c>
    </row>
    <row r="619" spans="1:4" x14ac:dyDescent="0.25">
      <c r="A619" t="str">
        <f>IF(Crowdfunding!G619="successful","successful","")</f>
        <v>successful</v>
      </c>
      <c r="B619">
        <f>IF(Crowdfunding!G619="successful",Crowdfunding!H619,0)</f>
        <v>55</v>
      </c>
      <c r="C619" t="str">
        <f>IF(Crowdfunding!G619="failed","failed","")</f>
        <v/>
      </c>
      <c r="D619">
        <f>IF(Crowdfunding!G619="failed",Crowdfunding!H619,0)</f>
        <v>0</v>
      </c>
    </row>
    <row r="620" spans="1:4" x14ac:dyDescent="0.25">
      <c r="A620" t="str">
        <f>IF(Crowdfunding!G620="successful","successful","")</f>
        <v/>
      </c>
      <c r="B620">
        <f>IF(Crowdfunding!G620="successful",Crowdfunding!H620,0)</f>
        <v>0</v>
      </c>
      <c r="C620" t="str">
        <f>IF(Crowdfunding!G620="failed","failed","")</f>
        <v>failed</v>
      </c>
      <c r="D620">
        <f>IF(Crowdfunding!G620="failed",Crowdfunding!H620,0)</f>
        <v>1198</v>
      </c>
    </row>
    <row r="621" spans="1:4" x14ac:dyDescent="0.25">
      <c r="A621" t="str">
        <f>IF(Crowdfunding!G621="successful","successful","")</f>
        <v/>
      </c>
      <c r="B621">
        <f>IF(Crowdfunding!G621="successful",Crowdfunding!H621,0)</f>
        <v>0</v>
      </c>
      <c r="C621" t="str">
        <f>IF(Crowdfunding!G621="failed","failed","")</f>
        <v>failed</v>
      </c>
      <c r="D621">
        <f>IF(Crowdfunding!G621="failed",Crowdfunding!H621,0)</f>
        <v>648</v>
      </c>
    </row>
    <row r="622" spans="1:4" x14ac:dyDescent="0.25">
      <c r="A622" t="str">
        <f>IF(Crowdfunding!G622="successful","successful","")</f>
        <v>successful</v>
      </c>
      <c r="B622">
        <f>IF(Crowdfunding!G622="successful",Crowdfunding!H622,0)</f>
        <v>128</v>
      </c>
      <c r="C622" t="str">
        <f>IF(Crowdfunding!G622="failed","failed","")</f>
        <v/>
      </c>
      <c r="D622">
        <f>IF(Crowdfunding!G622="failed",Crowdfunding!H622,0)</f>
        <v>0</v>
      </c>
    </row>
    <row r="623" spans="1:4" x14ac:dyDescent="0.25">
      <c r="A623" t="str">
        <f>IF(Crowdfunding!G623="successful","successful","")</f>
        <v>successful</v>
      </c>
      <c r="B623">
        <f>IF(Crowdfunding!G623="successful",Crowdfunding!H623,0)</f>
        <v>2144</v>
      </c>
      <c r="C623" t="str">
        <f>IF(Crowdfunding!G623="failed","failed","")</f>
        <v/>
      </c>
      <c r="D623">
        <f>IF(Crowdfunding!G623="failed",Crowdfunding!H623,0)</f>
        <v>0</v>
      </c>
    </row>
    <row r="624" spans="1:4" x14ac:dyDescent="0.25">
      <c r="A624" t="str">
        <f>IF(Crowdfunding!G624="successful","successful","")</f>
        <v/>
      </c>
      <c r="B624">
        <f>IF(Crowdfunding!G624="successful",Crowdfunding!H624,0)</f>
        <v>0</v>
      </c>
      <c r="C624" t="str">
        <f>IF(Crowdfunding!G624="failed","failed","")</f>
        <v>failed</v>
      </c>
      <c r="D624">
        <f>IF(Crowdfunding!G624="failed",Crowdfunding!H624,0)</f>
        <v>64</v>
      </c>
    </row>
    <row r="625" spans="1:4" x14ac:dyDescent="0.25">
      <c r="A625" t="str">
        <f>IF(Crowdfunding!G625="successful","successful","")</f>
        <v>successful</v>
      </c>
      <c r="B625">
        <f>IF(Crowdfunding!G625="successful",Crowdfunding!H625,0)</f>
        <v>2693</v>
      </c>
      <c r="C625" t="str">
        <f>IF(Crowdfunding!G625="failed","failed","")</f>
        <v/>
      </c>
      <c r="D625">
        <f>IF(Crowdfunding!G625="failed",Crowdfunding!H625,0)</f>
        <v>0</v>
      </c>
    </row>
    <row r="626" spans="1:4" x14ac:dyDescent="0.25">
      <c r="A626" t="str">
        <f>IF(Crowdfunding!G626="successful","successful","")</f>
        <v>successful</v>
      </c>
      <c r="B626">
        <f>IF(Crowdfunding!G626="successful",Crowdfunding!H626,0)</f>
        <v>432</v>
      </c>
      <c r="C626" t="str">
        <f>IF(Crowdfunding!G626="failed","failed","")</f>
        <v/>
      </c>
      <c r="D626">
        <f>IF(Crowdfunding!G626="failed",Crowdfunding!H626,0)</f>
        <v>0</v>
      </c>
    </row>
    <row r="627" spans="1:4" x14ac:dyDescent="0.25">
      <c r="A627" t="str">
        <f>IF(Crowdfunding!G627="successful","successful","")</f>
        <v/>
      </c>
      <c r="B627">
        <f>IF(Crowdfunding!G627="successful",Crowdfunding!H627,0)</f>
        <v>0</v>
      </c>
      <c r="C627" t="str">
        <f>IF(Crowdfunding!G627="failed","failed","")</f>
        <v>failed</v>
      </c>
      <c r="D627">
        <f>IF(Crowdfunding!G627="failed",Crowdfunding!H627,0)</f>
        <v>62</v>
      </c>
    </row>
    <row r="628" spans="1:4" x14ac:dyDescent="0.25">
      <c r="A628" t="str">
        <f>IF(Crowdfunding!G628="successful","successful","")</f>
        <v>successful</v>
      </c>
      <c r="B628">
        <f>IF(Crowdfunding!G628="successful",Crowdfunding!H628,0)</f>
        <v>189</v>
      </c>
      <c r="C628" t="str">
        <f>IF(Crowdfunding!G628="failed","failed","")</f>
        <v/>
      </c>
      <c r="D628">
        <f>IF(Crowdfunding!G628="failed",Crowdfunding!H628,0)</f>
        <v>0</v>
      </c>
    </row>
    <row r="629" spans="1:4" x14ac:dyDescent="0.25">
      <c r="A629" t="str">
        <f>IF(Crowdfunding!G629="successful","successful","")</f>
        <v>successful</v>
      </c>
      <c r="B629">
        <f>IF(Crowdfunding!G629="successful",Crowdfunding!H629,0)</f>
        <v>154</v>
      </c>
      <c r="C629" t="str">
        <f>IF(Crowdfunding!G629="failed","failed","")</f>
        <v/>
      </c>
      <c r="D629">
        <f>IF(Crowdfunding!G629="failed",Crowdfunding!H629,0)</f>
        <v>0</v>
      </c>
    </row>
    <row r="630" spans="1:4" x14ac:dyDescent="0.25">
      <c r="A630" t="str">
        <f>IF(Crowdfunding!G630="successful","successful","")</f>
        <v>successful</v>
      </c>
      <c r="B630">
        <f>IF(Crowdfunding!G630="successful",Crowdfunding!H630,0)</f>
        <v>96</v>
      </c>
      <c r="C630" t="str">
        <f>IF(Crowdfunding!G630="failed","failed","")</f>
        <v/>
      </c>
      <c r="D630">
        <f>IF(Crowdfunding!G630="failed",Crowdfunding!H630,0)</f>
        <v>0</v>
      </c>
    </row>
    <row r="631" spans="1:4" x14ac:dyDescent="0.25">
      <c r="A631" t="str">
        <f>IF(Crowdfunding!G631="successful","successful","")</f>
        <v/>
      </c>
      <c r="B631">
        <f>IF(Crowdfunding!G631="successful",Crowdfunding!H631,0)</f>
        <v>0</v>
      </c>
      <c r="C631" t="str">
        <f>IF(Crowdfunding!G631="failed","failed","")</f>
        <v>failed</v>
      </c>
      <c r="D631">
        <f>IF(Crowdfunding!G631="failed",Crowdfunding!H631,0)</f>
        <v>750</v>
      </c>
    </row>
    <row r="632" spans="1:4" x14ac:dyDescent="0.25">
      <c r="A632" t="str">
        <f>IF(Crowdfunding!G632="successful","successful","")</f>
        <v/>
      </c>
      <c r="B632">
        <f>IF(Crowdfunding!G632="successful",Crowdfunding!H632,0)</f>
        <v>0</v>
      </c>
      <c r="C632" t="str">
        <f>IF(Crowdfunding!G632="failed","failed","")</f>
        <v/>
      </c>
      <c r="D632">
        <f>IF(Crowdfunding!G632="failed",Crowdfunding!H632,0)</f>
        <v>0</v>
      </c>
    </row>
    <row r="633" spans="1:4" x14ac:dyDescent="0.25">
      <c r="A633" t="str">
        <f>IF(Crowdfunding!G633="successful","successful","")</f>
        <v>successful</v>
      </c>
      <c r="B633">
        <f>IF(Crowdfunding!G633="successful",Crowdfunding!H633,0)</f>
        <v>3063</v>
      </c>
      <c r="C633" t="str">
        <f>IF(Crowdfunding!G633="failed","failed","")</f>
        <v/>
      </c>
      <c r="D633">
        <f>IF(Crowdfunding!G633="failed",Crowdfunding!H633,0)</f>
        <v>0</v>
      </c>
    </row>
    <row r="634" spans="1:4" x14ac:dyDescent="0.25">
      <c r="A634" t="str">
        <f>IF(Crowdfunding!G634="successful","successful","")</f>
        <v/>
      </c>
      <c r="B634">
        <f>IF(Crowdfunding!G634="successful",Crowdfunding!H634,0)</f>
        <v>0</v>
      </c>
      <c r="C634" t="str">
        <f>IF(Crowdfunding!G634="failed","failed","")</f>
        <v/>
      </c>
      <c r="D634">
        <f>IF(Crowdfunding!G634="failed",Crowdfunding!H634,0)</f>
        <v>0</v>
      </c>
    </row>
    <row r="635" spans="1:4" x14ac:dyDescent="0.25">
      <c r="A635" t="str">
        <f>IF(Crowdfunding!G635="successful","successful","")</f>
        <v/>
      </c>
      <c r="B635">
        <f>IF(Crowdfunding!G635="successful",Crowdfunding!H635,0)</f>
        <v>0</v>
      </c>
      <c r="C635" t="str">
        <f>IF(Crowdfunding!G635="failed","failed","")</f>
        <v>failed</v>
      </c>
      <c r="D635">
        <f>IF(Crowdfunding!G635="failed",Crowdfunding!H635,0)</f>
        <v>105</v>
      </c>
    </row>
    <row r="636" spans="1:4" x14ac:dyDescent="0.25">
      <c r="A636" t="str">
        <f>IF(Crowdfunding!G636="successful","successful","")</f>
        <v/>
      </c>
      <c r="B636">
        <f>IF(Crowdfunding!G636="successful",Crowdfunding!H636,0)</f>
        <v>0</v>
      </c>
      <c r="C636" t="str">
        <f>IF(Crowdfunding!G636="failed","failed","")</f>
        <v/>
      </c>
      <c r="D636">
        <f>IF(Crowdfunding!G636="failed",Crowdfunding!H636,0)</f>
        <v>0</v>
      </c>
    </row>
    <row r="637" spans="1:4" x14ac:dyDescent="0.25">
      <c r="A637" t="str">
        <f>IF(Crowdfunding!G637="successful","successful","")</f>
        <v>successful</v>
      </c>
      <c r="B637">
        <f>IF(Crowdfunding!G637="successful",Crowdfunding!H637,0)</f>
        <v>2266</v>
      </c>
      <c r="C637" t="str">
        <f>IF(Crowdfunding!G637="failed","failed","")</f>
        <v/>
      </c>
      <c r="D637">
        <f>IF(Crowdfunding!G637="failed",Crowdfunding!H637,0)</f>
        <v>0</v>
      </c>
    </row>
    <row r="638" spans="1:4" x14ac:dyDescent="0.25">
      <c r="A638" t="str">
        <f>IF(Crowdfunding!G638="successful","successful","")</f>
        <v/>
      </c>
      <c r="B638">
        <f>IF(Crowdfunding!G638="successful",Crowdfunding!H638,0)</f>
        <v>0</v>
      </c>
      <c r="C638" t="str">
        <f>IF(Crowdfunding!G638="failed","failed","")</f>
        <v>failed</v>
      </c>
      <c r="D638">
        <f>IF(Crowdfunding!G638="failed",Crowdfunding!H638,0)</f>
        <v>2604</v>
      </c>
    </row>
    <row r="639" spans="1:4" x14ac:dyDescent="0.25">
      <c r="A639" t="str">
        <f>IF(Crowdfunding!G639="successful","successful","")</f>
        <v/>
      </c>
      <c r="B639">
        <f>IF(Crowdfunding!G639="successful",Crowdfunding!H639,0)</f>
        <v>0</v>
      </c>
      <c r="C639" t="str">
        <f>IF(Crowdfunding!G639="failed","failed","")</f>
        <v>failed</v>
      </c>
      <c r="D639">
        <f>IF(Crowdfunding!G639="failed",Crowdfunding!H639,0)</f>
        <v>65</v>
      </c>
    </row>
    <row r="640" spans="1:4" x14ac:dyDescent="0.25">
      <c r="A640" t="str">
        <f>IF(Crowdfunding!G640="successful","successful","")</f>
        <v/>
      </c>
      <c r="B640">
        <f>IF(Crowdfunding!G640="successful",Crowdfunding!H640,0)</f>
        <v>0</v>
      </c>
      <c r="C640" t="str">
        <f>IF(Crowdfunding!G640="failed","failed","")</f>
        <v>failed</v>
      </c>
      <c r="D640">
        <f>IF(Crowdfunding!G640="failed",Crowdfunding!H640,0)</f>
        <v>94</v>
      </c>
    </row>
    <row r="641" spans="1:4" x14ac:dyDescent="0.25">
      <c r="A641" t="str">
        <f>IF(Crowdfunding!G641="successful","successful","")</f>
        <v/>
      </c>
      <c r="B641">
        <f>IF(Crowdfunding!G641="successful",Crowdfunding!H641,0)</f>
        <v>0</v>
      </c>
      <c r="C641" t="str">
        <f>IF(Crowdfunding!G641="failed","failed","")</f>
        <v/>
      </c>
      <c r="D641">
        <f>IF(Crowdfunding!G641="failed",Crowdfunding!H641,0)</f>
        <v>0</v>
      </c>
    </row>
    <row r="642" spans="1:4" x14ac:dyDescent="0.25">
      <c r="A642" t="str">
        <f>IF(Crowdfunding!G642="successful","successful","")</f>
        <v/>
      </c>
      <c r="B642">
        <f>IF(Crowdfunding!G642="successful",Crowdfunding!H642,0)</f>
        <v>0</v>
      </c>
      <c r="C642" t="str">
        <f>IF(Crowdfunding!G642="failed","failed","")</f>
        <v>failed</v>
      </c>
      <c r="D642">
        <f>IF(Crowdfunding!G642="failed",Crowdfunding!H642,0)</f>
        <v>257</v>
      </c>
    </row>
    <row r="643" spans="1:4" x14ac:dyDescent="0.25">
      <c r="A643" t="str">
        <f>IF(Crowdfunding!G643="successful","successful","")</f>
        <v>successful</v>
      </c>
      <c r="B643">
        <f>IF(Crowdfunding!G643="successful",Crowdfunding!H643,0)</f>
        <v>194</v>
      </c>
      <c r="C643" t="str">
        <f>IF(Crowdfunding!G643="failed","failed","")</f>
        <v/>
      </c>
      <c r="D643">
        <f>IF(Crowdfunding!G643="failed",Crowdfunding!H643,0)</f>
        <v>0</v>
      </c>
    </row>
    <row r="644" spans="1:4" x14ac:dyDescent="0.25">
      <c r="A644" t="str">
        <f>IF(Crowdfunding!G644="successful","successful","")</f>
        <v>successful</v>
      </c>
      <c r="B644">
        <f>IF(Crowdfunding!G644="successful",Crowdfunding!H644,0)</f>
        <v>129</v>
      </c>
      <c r="C644" t="str">
        <f>IF(Crowdfunding!G644="failed","failed","")</f>
        <v/>
      </c>
      <c r="D644">
        <f>IF(Crowdfunding!G644="failed",Crowdfunding!H644,0)</f>
        <v>0</v>
      </c>
    </row>
    <row r="645" spans="1:4" x14ac:dyDescent="0.25">
      <c r="A645" t="str">
        <f>IF(Crowdfunding!G645="successful","successful","")</f>
        <v>successful</v>
      </c>
      <c r="B645">
        <f>IF(Crowdfunding!G645="successful",Crowdfunding!H645,0)</f>
        <v>375</v>
      </c>
      <c r="C645" t="str">
        <f>IF(Crowdfunding!G645="failed","failed","")</f>
        <v/>
      </c>
      <c r="D645">
        <f>IF(Crowdfunding!G645="failed",Crowdfunding!H645,0)</f>
        <v>0</v>
      </c>
    </row>
    <row r="646" spans="1:4" x14ac:dyDescent="0.25">
      <c r="A646" t="str">
        <f>IF(Crowdfunding!G646="successful","successful","")</f>
        <v/>
      </c>
      <c r="B646">
        <f>IF(Crowdfunding!G646="successful",Crowdfunding!H646,0)</f>
        <v>0</v>
      </c>
      <c r="C646" t="str">
        <f>IF(Crowdfunding!G646="failed","failed","")</f>
        <v>failed</v>
      </c>
      <c r="D646">
        <f>IF(Crowdfunding!G646="failed",Crowdfunding!H646,0)</f>
        <v>2928</v>
      </c>
    </row>
    <row r="647" spans="1:4" x14ac:dyDescent="0.25">
      <c r="A647" t="str">
        <f>IF(Crowdfunding!G647="successful","successful","")</f>
        <v/>
      </c>
      <c r="B647">
        <f>IF(Crowdfunding!G647="successful",Crowdfunding!H647,0)</f>
        <v>0</v>
      </c>
      <c r="C647" t="str">
        <f>IF(Crowdfunding!G647="failed","failed","")</f>
        <v>failed</v>
      </c>
      <c r="D647">
        <f>IF(Crowdfunding!G647="failed",Crowdfunding!H647,0)</f>
        <v>4697</v>
      </c>
    </row>
    <row r="648" spans="1:4" x14ac:dyDescent="0.25">
      <c r="A648" t="str">
        <f>IF(Crowdfunding!G648="successful","successful","")</f>
        <v/>
      </c>
      <c r="B648">
        <f>IF(Crowdfunding!G648="successful",Crowdfunding!H648,0)</f>
        <v>0</v>
      </c>
      <c r="C648" t="str">
        <f>IF(Crowdfunding!G648="failed","failed","")</f>
        <v>failed</v>
      </c>
      <c r="D648">
        <f>IF(Crowdfunding!G648="failed",Crowdfunding!H648,0)</f>
        <v>2915</v>
      </c>
    </row>
    <row r="649" spans="1:4" x14ac:dyDescent="0.25">
      <c r="A649" t="str">
        <f>IF(Crowdfunding!G649="successful","successful","")</f>
        <v/>
      </c>
      <c r="B649">
        <f>IF(Crowdfunding!G649="successful",Crowdfunding!H649,0)</f>
        <v>0</v>
      </c>
      <c r="C649" t="str">
        <f>IF(Crowdfunding!G649="failed","failed","")</f>
        <v>failed</v>
      </c>
      <c r="D649">
        <f>IF(Crowdfunding!G649="failed",Crowdfunding!H649,0)</f>
        <v>18</v>
      </c>
    </row>
    <row r="650" spans="1:4" x14ac:dyDescent="0.25">
      <c r="A650" t="str">
        <f>IF(Crowdfunding!G650="successful","successful","")</f>
        <v/>
      </c>
      <c r="B650">
        <f>IF(Crowdfunding!G650="successful",Crowdfunding!H650,0)</f>
        <v>0</v>
      </c>
      <c r="C650" t="str">
        <f>IF(Crowdfunding!G650="failed","failed","")</f>
        <v/>
      </c>
      <c r="D650">
        <f>IF(Crowdfunding!G650="failed",Crowdfunding!H650,0)</f>
        <v>0</v>
      </c>
    </row>
    <row r="651" spans="1:4" x14ac:dyDescent="0.25">
      <c r="A651" t="str">
        <f>IF(Crowdfunding!G651="successful","successful","")</f>
        <v/>
      </c>
      <c r="B651">
        <f>IF(Crowdfunding!G651="successful",Crowdfunding!H651,0)</f>
        <v>0</v>
      </c>
      <c r="C651" t="str">
        <f>IF(Crowdfunding!G651="failed","failed","")</f>
        <v>failed</v>
      </c>
      <c r="D651">
        <f>IF(Crowdfunding!G651="failed",Crowdfunding!H651,0)</f>
        <v>602</v>
      </c>
    </row>
    <row r="652" spans="1:4" x14ac:dyDescent="0.25">
      <c r="A652" t="str">
        <f>IF(Crowdfunding!G652="successful","successful","")</f>
        <v/>
      </c>
      <c r="B652">
        <f>IF(Crowdfunding!G652="successful",Crowdfunding!H652,0)</f>
        <v>0</v>
      </c>
      <c r="C652" t="str">
        <f>IF(Crowdfunding!G652="failed","failed","")</f>
        <v>failed</v>
      </c>
      <c r="D652">
        <f>IF(Crowdfunding!G652="failed",Crowdfunding!H652,0)</f>
        <v>1</v>
      </c>
    </row>
    <row r="653" spans="1:4" x14ac:dyDescent="0.25">
      <c r="A653" t="str">
        <f>IF(Crowdfunding!G653="successful","successful","")</f>
        <v/>
      </c>
      <c r="B653">
        <f>IF(Crowdfunding!G653="successful",Crowdfunding!H653,0)</f>
        <v>0</v>
      </c>
      <c r="C653" t="str">
        <f>IF(Crowdfunding!G653="failed","failed","")</f>
        <v>failed</v>
      </c>
      <c r="D653">
        <f>IF(Crowdfunding!G653="failed",Crowdfunding!H653,0)</f>
        <v>3868</v>
      </c>
    </row>
    <row r="654" spans="1:4" x14ac:dyDescent="0.25">
      <c r="A654" t="str">
        <f>IF(Crowdfunding!G654="successful","successful","")</f>
        <v>successful</v>
      </c>
      <c r="B654">
        <f>IF(Crowdfunding!G654="successful",Crowdfunding!H654,0)</f>
        <v>409</v>
      </c>
      <c r="C654" t="str">
        <f>IF(Crowdfunding!G654="failed","failed","")</f>
        <v/>
      </c>
      <c r="D654">
        <f>IF(Crowdfunding!G654="failed",Crowdfunding!H654,0)</f>
        <v>0</v>
      </c>
    </row>
    <row r="655" spans="1:4" x14ac:dyDescent="0.25">
      <c r="A655" t="str">
        <f>IF(Crowdfunding!G655="successful","successful","")</f>
        <v>successful</v>
      </c>
      <c r="B655">
        <f>IF(Crowdfunding!G655="successful",Crowdfunding!H655,0)</f>
        <v>234</v>
      </c>
      <c r="C655" t="str">
        <f>IF(Crowdfunding!G655="failed","failed","")</f>
        <v/>
      </c>
      <c r="D655">
        <f>IF(Crowdfunding!G655="failed",Crowdfunding!H655,0)</f>
        <v>0</v>
      </c>
    </row>
    <row r="656" spans="1:4" x14ac:dyDescent="0.25">
      <c r="A656" t="str">
        <f>IF(Crowdfunding!G656="successful","successful","")</f>
        <v>successful</v>
      </c>
      <c r="B656">
        <f>IF(Crowdfunding!G656="successful",Crowdfunding!H656,0)</f>
        <v>3016</v>
      </c>
      <c r="C656" t="str">
        <f>IF(Crowdfunding!G656="failed","failed","")</f>
        <v/>
      </c>
      <c r="D656">
        <f>IF(Crowdfunding!G656="failed",Crowdfunding!H656,0)</f>
        <v>0</v>
      </c>
    </row>
    <row r="657" spans="1:4" x14ac:dyDescent="0.25">
      <c r="A657" t="str">
        <f>IF(Crowdfunding!G657="successful","successful","")</f>
        <v>successful</v>
      </c>
      <c r="B657">
        <f>IF(Crowdfunding!G657="successful",Crowdfunding!H657,0)</f>
        <v>264</v>
      </c>
      <c r="C657" t="str">
        <f>IF(Crowdfunding!G657="failed","failed","")</f>
        <v/>
      </c>
      <c r="D657">
        <f>IF(Crowdfunding!G657="failed",Crowdfunding!H657,0)</f>
        <v>0</v>
      </c>
    </row>
    <row r="658" spans="1:4" x14ac:dyDescent="0.25">
      <c r="A658" t="str">
        <f>IF(Crowdfunding!G658="successful","successful","")</f>
        <v/>
      </c>
      <c r="B658">
        <f>IF(Crowdfunding!G658="successful",Crowdfunding!H658,0)</f>
        <v>0</v>
      </c>
      <c r="C658" t="str">
        <f>IF(Crowdfunding!G658="failed","failed","")</f>
        <v>failed</v>
      </c>
      <c r="D658">
        <f>IF(Crowdfunding!G658="failed",Crowdfunding!H658,0)</f>
        <v>504</v>
      </c>
    </row>
    <row r="659" spans="1:4" x14ac:dyDescent="0.25">
      <c r="A659" t="str">
        <f>IF(Crowdfunding!G659="successful","successful","")</f>
        <v/>
      </c>
      <c r="B659">
        <f>IF(Crowdfunding!G659="successful",Crowdfunding!H659,0)</f>
        <v>0</v>
      </c>
      <c r="C659" t="str">
        <f>IF(Crowdfunding!G659="failed","failed","")</f>
        <v>failed</v>
      </c>
      <c r="D659">
        <f>IF(Crowdfunding!G659="failed",Crowdfunding!H659,0)</f>
        <v>14</v>
      </c>
    </row>
    <row r="660" spans="1:4" x14ac:dyDescent="0.25">
      <c r="A660" t="str">
        <f>IF(Crowdfunding!G660="successful","successful","")</f>
        <v/>
      </c>
      <c r="B660">
        <f>IF(Crowdfunding!G660="successful",Crowdfunding!H660,0)</f>
        <v>0</v>
      </c>
      <c r="C660" t="str">
        <f>IF(Crowdfunding!G660="failed","failed","")</f>
        <v/>
      </c>
      <c r="D660">
        <f>IF(Crowdfunding!G660="failed",Crowdfunding!H660,0)</f>
        <v>0</v>
      </c>
    </row>
    <row r="661" spans="1:4" x14ac:dyDescent="0.25">
      <c r="A661" t="str">
        <f>IF(Crowdfunding!G661="successful","successful","")</f>
        <v/>
      </c>
      <c r="B661">
        <f>IF(Crowdfunding!G661="successful",Crowdfunding!H661,0)</f>
        <v>0</v>
      </c>
      <c r="C661" t="str">
        <f>IF(Crowdfunding!G661="failed","failed","")</f>
        <v>failed</v>
      </c>
      <c r="D661">
        <f>IF(Crowdfunding!G661="failed",Crowdfunding!H661,0)</f>
        <v>750</v>
      </c>
    </row>
    <row r="662" spans="1:4" x14ac:dyDescent="0.25">
      <c r="A662" t="str">
        <f>IF(Crowdfunding!G662="successful","successful","")</f>
        <v/>
      </c>
      <c r="B662">
        <f>IF(Crowdfunding!G662="successful",Crowdfunding!H662,0)</f>
        <v>0</v>
      </c>
      <c r="C662" t="str">
        <f>IF(Crowdfunding!G662="failed","failed","")</f>
        <v>failed</v>
      </c>
      <c r="D662">
        <f>IF(Crowdfunding!G662="failed",Crowdfunding!H662,0)</f>
        <v>77</v>
      </c>
    </row>
    <row r="663" spans="1:4" x14ac:dyDescent="0.25">
      <c r="A663" t="str">
        <f>IF(Crowdfunding!G663="successful","successful","")</f>
        <v/>
      </c>
      <c r="B663">
        <f>IF(Crowdfunding!G663="successful",Crowdfunding!H663,0)</f>
        <v>0</v>
      </c>
      <c r="C663" t="str">
        <f>IF(Crowdfunding!G663="failed","failed","")</f>
        <v>failed</v>
      </c>
      <c r="D663">
        <f>IF(Crowdfunding!G663="failed",Crowdfunding!H663,0)</f>
        <v>752</v>
      </c>
    </row>
    <row r="664" spans="1:4" x14ac:dyDescent="0.25">
      <c r="A664" t="str">
        <f>IF(Crowdfunding!G664="successful","successful","")</f>
        <v/>
      </c>
      <c r="B664">
        <f>IF(Crowdfunding!G664="successful",Crowdfunding!H664,0)</f>
        <v>0</v>
      </c>
      <c r="C664" t="str">
        <f>IF(Crowdfunding!G664="failed","failed","")</f>
        <v>failed</v>
      </c>
      <c r="D664">
        <f>IF(Crowdfunding!G664="failed",Crowdfunding!H664,0)</f>
        <v>131</v>
      </c>
    </row>
    <row r="665" spans="1:4" x14ac:dyDescent="0.25">
      <c r="A665" t="str">
        <f>IF(Crowdfunding!G665="successful","successful","")</f>
        <v/>
      </c>
      <c r="B665">
        <f>IF(Crowdfunding!G665="successful",Crowdfunding!H665,0)</f>
        <v>0</v>
      </c>
      <c r="C665" t="str">
        <f>IF(Crowdfunding!G665="failed","failed","")</f>
        <v>failed</v>
      </c>
      <c r="D665">
        <f>IF(Crowdfunding!G665="failed",Crowdfunding!H665,0)</f>
        <v>87</v>
      </c>
    </row>
    <row r="666" spans="1:4" x14ac:dyDescent="0.25">
      <c r="A666" t="str">
        <f>IF(Crowdfunding!G666="successful","successful","")</f>
        <v/>
      </c>
      <c r="B666">
        <f>IF(Crowdfunding!G666="successful",Crowdfunding!H666,0)</f>
        <v>0</v>
      </c>
      <c r="C666" t="str">
        <f>IF(Crowdfunding!G666="failed","failed","")</f>
        <v>failed</v>
      </c>
      <c r="D666">
        <f>IF(Crowdfunding!G666="failed",Crowdfunding!H666,0)</f>
        <v>1063</v>
      </c>
    </row>
    <row r="667" spans="1:4" x14ac:dyDescent="0.25">
      <c r="A667" t="str">
        <f>IF(Crowdfunding!G667="successful","successful","")</f>
        <v>successful</v>
      </c>
      <c r="B667">
        <f>IF(Crowdfunding!G667="successful",Crowdfunding!H667,0)</f>
        <v>272</v>
      </c>
      <c r="C667" t="str">
        <f>IF(Crowdfunding!G667="failed","failed","")</f>
        <v/>
      </c>
      <c r="D667">
        <f>IF(Crowdfunding!G667="failed",Crowdfunding!H667,0)</f>
        <v>0</v>
      </c>
    </row>
    <row r="668" spans="1:4" x14ac:dyDescent="0.25">
      <c r="A668" t="str">
        <f>IF(Crowdfunding!G668="successful","successful","")</f>
        <v/>
      </c>
      <c r="B668">
        <f>IF(Crowdfunding!G668="successful",Crowdfunding!H668,0)</f>
        <v>0</v>
      </c>
      <c r="C668" t="str">
        <f>IF(Crowdfunding!G668="failed","failed","")</f>
        <v/>
      </c>
      <c r="D668">
        <f>IF(Crowdfunding!G668="failed",Crowdfunding!H668,0)</f>
        <v>0</v>
      </c>
    </row>
    <row r="669" spans="1:4" x14ac:dyDescent="0.25">
      <c r="A669" t="str">
        <f>IF(Crowdfunding!G669="successful","successful","")</f>
        <v>successful</v>
      </c>
      <c r="B669">
        <f>IF(Crowdfunding!G669="successful",Crowdfunding!H669,0)</f>
        <v>419</v>
      </c>
      <c r="C669" t="str">
        <f>IF(Crowdfunding!G669="failed","failed","")</f>
        <v/>
      </c>
      <c r="D669">
        <f>IF(Crowdfunding!G669="failed",Crowdfunding!H669,0)</f>
        <v>0</v>
      </c>
    </row>
    <row r="670" spans="1:4" x14ac:dyDescent="0.25">
      <c r="A670" t="str">
        <f>IF(Crowdfunding!G670="successful","successful","")</f>
        <v/>
      </c>
      <c r="B670">
        <f>IF(Crowdfunding!G670="successful",Crowdfunding!H670,0)</f>
        <v>0</v>
      </c>
      <c r="C670" t="str">
        <f>IF(Crowdfunding!G670="failed","failed","")</f>
        <v>failed</v>
      </c>
      <c r="D670">
        <f>IF(Crowdfunding!G670="failed",Crowdfunding!H670,0)</f>
        <v>76</v>
      </c>
    </row>
    <row r="671" spans="1:4" x14ac:dyDescent="0.25">
      <c r="A671" t="str">
        <f>IF(Crowdfunding!G671="successful","successful","")</f>
        <v>successful</v>
      </c>
      <c r="B671">
        <f>IF(Crowdfunding!G671="successful",Crowdfunding!H671,0)</f>
        <v>1621</v>
      </c>
      <c r="C671" t="str">
        <f>IF(Crowdfunding!G671="failed","failed","")</f>
        <v/>
      </c>
      <c r="D671">
        <f>IF(Crowdfunding!G671="failed",Crowdfunding!H671,0)</f>
        <v>0</v>
      </c>
    </row>
    <row r="672" spans="1:4" x14ac:dyDescent="0.25">
      <c r="A672" t="str">
        <f>IF(Crowdfunding!G672="successful","successful","")</f>
        <v>successful</v>
      </c>
      <c r="B672">
        <f>IF(Crowdfunding!G672="successful",Crowdfunding!H672,0)</f>
        <v>1101</v>
      </c>
      <c r="C672" t="str">
        <f>IF(Crowdfunding!G672="failed","failed","")</f>
        <v/>
      </c>
      <c r="D672">
        <f>IF(Crowdfunding!G672="failed",Crowdfunding!H672,0)</f>
        <v>0</v>
      </c>
    </row>
    <row r="673" spans="1:4" x14ac:dyDescent="0.25">
      <c r="A673" t="str">
        <f>IF(Crowdfunding!G673="successful","successful","")</f>
        <v>successful</v>
      </c>
      <c r="B673">
        <f>IF(Crowdfunding!G673="successful",Crowdfunding!H673,0)</f>
        <v>1073</v>
      </c>
      <c r="C673" t="str">
        <f>IF(Crowdfunding!G673="failed","failed","")</f>
        <v/>
      </c>
      <c r="D673">
        <f>IF(Crowdfunding!G673="failed",Crowdfunding!H673,0)</f>
        <v>0</v>
      </c>
    </row>
    <row r="674" spans="1:4" x14ac:dyDescent="0.25">
      <c r="A674" t="str">
        <f>IF(Crowdfunding!G674="successful","successful","")</f>
        <v/>
      </c>
      <c r="B674">
        <f>IF(Crowdfunding!G674="successful",Crowdfunding!H674,0)</f>
        <v>0</v>
      </c>
      <c r="C674" t="str">
        <f>IF(Crowdfunding!G674="failed","failed","")</f>
        <v>failed</v>
      </c>
      <c r="D674">
        <f>IF(Crowdfunding!G674="failed",Crowdfunding!H674,0)</f>
        <v>4428</v>
      </c>
    </row>
    <row r="675" spans="1:4" x14ac:dyDescent="0.25">
      <c r="A675" t="str">
        <f>IF(Crowdfunding!G675="successful","successful","")</f>
        <v/>
      </c>
      <c r="B675">
        <f>IF(Crowdfunding!G675="successful",Crowdfunding!H675,0)</f>
        <v>0</v>
      </c>
      <c r="C675" t="str">
        <f>IF(Crowdfunding!G675="failed","failed","")</f>
        <v>failed</v>
      </c>
      <c r="D675">
        <f>IF(Crowdfunding!G675="failed",Crowdfunding!H675,0)</f>
        <v>58</v>
      </c>
    </row>
    <row r="676" spans="1:4" x14ac:dyDescent="0.25">
      <c r="A676" t="str">
        <f>IF(Crowdfunding!G676="successful","successful","")</f>
        <v/>
      </c>
      <c r="B676">
        <f>IF(Crowdfunding!G676="successful",Crowdfunding!H676,0)</f>
        <v>0</v>
      </c>
      <c r="C676" t="str">
        <f>IF(Crowdfunding!G676="failed","failed","")</f>
        <v/>
      </c>
      <c r="D676">
        <f>IF(Crowdfunding!G676="failed",Crowdfunding!H676,0)</f>
        <v>0</v>
      </c>
    </row>
    <row r="677" spans="1:4" x14ac:dyDescent="0.25">
      <c r="A677" t="str">
        <f>IF(Crowdfunding!G677="successful","successful","")</f>
        <v>successful</v>
      </c>
      <c r="B677">
        <f>IF(Crowdfunding!G677="successful",Crowdfunding!H677,0)</f>
        <v>331</v>
      </c>
      <c r="C677" t="str">
        <f>IF(Crowdfunding!G677="failed","failed","")</f>
        <v/>
      </c>
      <c r="D677">
        <f>IF(Crowdfunding!G677="failed",Crowdfunding!H677,0)</f>
        <v>0</v>
      </c>
    </row>
    <row r="678" spans="1:4" x14ac:dyDescent="0.25">
      <c r="A678" t="str">
        <f>IF(Crowdfunding!G678="successful","successful","")</f>
        <v>successful</v>
      </c>
      <c r="B678">
        <f>IF(Crowdfunding!G678="successful",Crowdfunding!H678,0)</f>
        <v>1170</v>
      </c>
      <c r="C678" t="str">
        <f>IF(Crowdfunding!G678="failed","failed","")</f>
        <v/>
      </c>
      <c r="D678">
        <f>IF(Crowdfunding!G678="failed",Crowdfunding!H678,0)</f>
        <v>0</v>
      </c>
    </row>
    <row r="679" spans="1:4" x14ac:dyDescent="0.25">
      <c r="A679" t="str">
        <f>IF(Crowdfunding!G679="successful","successful","")</f>
        <v/>
      </c>
      <c r="B679">
        <f>IF(Crowdfunding!G679="successful",Crowdfunding!H679,0)</f>
        <v>0</v>
      </c>
      <c r="C679" t="str">
        <f>IF(Crowdfunding!G679="failed","failed","")</f>
        <v>failed</v>
      </c>
      <c r="D679">
        <f>IF(Crowdfunding!G679="failed",Crowdfunding!H679,0)</f>
        <v>111</v>
      </c>
    </row>
    <row r="680" spans="1:4" x14ac:dyDescent="0.25">
      <c r="A680" t="str">
        <f>IF(Crowdfunding!G680="successful","successful","")</f>
        <v/>
      </c>
      <c r="B680">
        <f>IF(Crowdfunding!G680="successful",Crowdfunding!H680,0)</f>
        <v>0</v>
      </c>
      <c r="C680" t="str">
        <f>IF(Crowdfunding!G680="failed","failed","")</f>
        <v/>
      </c>
      <c r="D680">
        <f>IF(Crowdfunding!G680="failed",Crowdfunding!H680,0)</f>
        <v>0</v>
      </c>
    </row>
    <row r="681" spans="1:4" x14ac:dyDescent="0.25">
      <c r="A681" t="str">
        <f>IF(Crowdfunding!G681="successful","successful","")</f>
        <v>successful</v>
      </c>
      <c r="B681">
        <f>IF(Crowdfunding!G681="successful",Crowdfunding!H681,0)</f>
        <v>363</v>
      </c>
      <c r="C681" t="str">
        <f>IF(Crowdfunding!G681="failed","failed","")</f>
        <v/>
      </c>
      <c r="D681">
        <f>IF(Crowdfunding!G681="failed",Crowdfunding!H681,0)</f>
        <v>0</v>
      </c>
    </row>
    <row r="682" spans="1:4" x14ac:dyDescent="0.25">
      <c r="A682" t="str">
        <f>IF(Crowdfunding!G682="successful","successful","")</f>
        <v/>
      </c>
      <c r="B682">
        <f>IF(Crowdfunding!G682="successful",Crowdfunding!H682,0)</f>
        <v>0</v>
      </c>
      <c r="C682" t="str">
        <f>IF(Crowdfunding!G682="failed","failed","")</f>
        <v>failed</v>
      </c>
      <c r="D682">
        <f>IF(Crowdfunding!G682="failed",Crowdfunding!H682,0)</f>
        <v>2955</v>
      </c>
    </row>
    <row r="683" spans="1:4" x14ac:dyDescent="0.25">
      <c r="A683" t="str">
        <f>IF(Crowdfunding!G683="successful","successful","")</f>
        <v/>
      </c>
      <c r="B683">
        <f>IF(Crowdfunding!G683="successful",Crowdfunding!H683,0)</f>
        <v>0</v>
      </c>
      <c r="C683" t="str">
        <f>IF(Crowdfunding!G683="failed","failed","")</f>
        <v>failed</v>
      </c>
      <c r="D683">
        <f>IF(Crowdfunding!G683="failed",Crowdfunding!H683,0)</f>
        <v>1657</v>
      </c>
    </row>
    <row r="684" spans="1:4" x14ac:dyDescent="0.25">
      <c r="A684" t="str">
        <f>IF(Crowdfunding!G684="successful","successful","")</f>
        <v>successful</v>
      </c>
      <c r="B684">
        <f>IF(Crowdfunding!G684="successful",Crowdfunding!H684,0)</f>
        <v>103</v>
      </c>
      <c r="C684" t="str">
        <f>IF(Crowdfunding!G684="failed","failed","")</f>
        <v/>
      </c>
      <c r="D684">
        <f>IF(Crowdfunding!G684="failed",Crowdfunding!H684,0)</f>
        <v>0</v>
      </c>
    </row>
    <row r="685" spans="1:4" x14ac:dyDescent="0.25">
      <c r="A685" t="str">
        <f>IF(Crowdfunding!G685="successful","successful","")</f>
        <v>successful</v>
      </c>
      <c r="B685">
        <f>IF(Crowdfunding!G685="successful",Crowdfunding!H685,0)</f>
        <v>147</v>
      </c>
      <c r="C685" t="str">
        <f>IF(Crowdfunding!G685="failed","failed","")</f>
        <v/>
      </c>
      <c r="D685">
        <f>IF(Crowdfunding!G685="failed",Crowdfunding!H685,0)</f>
        <v>0</v>
      </c>
    </row>
    <row r="686" spans="1:4" x14ac:dyDescent="0.25">
      <c r="A686" t="str">
        <f>IF(Crowdfunding!G686="successful","successful","")</f>
        <v>successful</v>
      </c>
      <c r="B686">
        <f>IF(Crowdfunding!G686="successful",Crowdfunding!H686,0)</f>
        <v>110</v>
      </c>
      <c r="C686" t="str">
        <f>IF(Crowdfunding!G686="failed","failed","")</f>
        <v/>
      </c>
      <c r="D686">
        <f>IF(Crowdfunding!G686="failed",Crowdfunding!H686,0)</f>
        <v>0</v>
      </c>
    </row>
    <row r="687" spans="1:4" x14ac:dyDescent="0.25">
      <c r="A687" t="str">
        <f>IF(Crowdfunding!G687="successful","successful","")</f>
        <v/>
      </c>
      <c r="B687">
        <f>IF(Crowdfunding!G687="successful",Crowdfunding!H687,0)</f>
        <v>0</v>
      </c>
      <c r="C687" t="str">
        <f>IF(Crowdfunding!G687="failed","failed","")</f>
        <v>failed</v>
      </c>
      <c r="D687">
        <f>IF(Crowdfunding!G687="failed",Crowdfunding!H687,0)</f>
        <v>926</v>
      </c>
    </row>
    <row r="688" spans="1:4" x14ac:dyDescent="0.25">
      <c r="A688" t="str">
        <f>IF(Crowdfunding!G688="successful","successful","")</f>
        <v>successful</v>
      </c>
      <c r="B688">
        <f>IF(Crowdfunding!G688="successful",Crowdfunding!H688,0)</f>
        <v>134</v>
      </c>
      <c r="C688" t="str">
        <f>IF(Crowdfunding!G688="failed","failed","")</f>
        <v/>
      </c>
      <c r="D688">
        <f>IF(Crowdfunding!G688="failed",Crowdfunding!H688,0)</f>
        <v>0</v>
      </c>
    </row>
    <row r="689" spans="1:4" x14ac:dyDescent="0.25">
      <c r="A689" t="str">
        <f>IF(Crowdfunding!G689="successful","successful","")</f>
        <v>successful</v>
      </c>
      <c r="B689">
        <f>IF(Crowdfunding!G689="successful",Crowdfunding!H689,0)</f>
        <v>269</v>
      </c>
      <c r="C689" t="str">
        <f>IF(Crowdfunding!G689="failed","failed","")</f>
        <v/>
      </c>
      <c r="D689">
        <f>IF(Crowdfunding!G689="failed",Crowdfunding!H689,0)</f>
        <v>0</v>
      </c>
    </row>
    <row r="690" spans="1:4" x14ac:dyDescent="0.25">
      <c r="A690" t="str">
        <f>IF(Crowdfunding!G690="successful","successful","")</f>
        <v>successful</v>
      </c>
      <c r="B690">
        <f>IF(Crowdfunding!G690="successful",Crowdfunding!H690,0)</f>
        <v>175</v>
      </c>
      <c r="C690" t="str">
        <f>IF(Crowdfunding!G690="failed","failed","")</f>
        <v/>
      </c>
      <c r="D690">
        <f>IF(Crowdfunding!G690="failed",Crowdfunding!H690,0)</f>
        <v>0</v>
      </c>
    </row>
    <row r="691" spans="1:4" x14ac:dyDescent="0.25">
      <c r="A691" t="str">
        <f>IF(Crowdfunding!G691="successful","successful","")</f>
        <v>successful</v>
      </c>
      <c r="B691">
        <f>IF(Crowdfunding!G691="successful",Crowdfunding!H691,0)</f>
        <v>69</v>
      </c>
      <c r="C691" t="str">
        <f>IF(Crowdfunding!G691="failed","failed","")</f>
        <v/>
      </c>
      <c r="D691">
        <f>IF(Crowdfunding!G691="failed",Crowdfunding!H691,0)</f>
        <v>0</v>
      </c>
    </row>
    <row r="692" spans="1:4" x14ac:dyDescent="0.25">
      <c r="A692" t="str">
        <f>IF(Crowdfunding!G692="successful","successful","")</f>
        <v>successful</v>
      </c>
      <c r="B692">
        <f>IF(Crowdfunding!G692="successful",Crowdfunding!H692,0)</f>
        <v>190</v>
      </c>
      <c r="C692" t="str">
        <f>IF(Crowdfunding!G692="failed","failed","")</f>
        <v/>
      </c>
      <c r="D692">
        <f>IF(Crowdfunding!G692="failed",Crowdfunding!H692,0)</f>
        <v>0</v>
      </c>
    </row>
    <row r="693" spans="1:4" x14ac:dyDescent="0.25">
      <c r="A693" t="str">
        <f>IF(Crowdfunding!G693="successful","successful","")</f>
        <v>successful</v>
      </c>
      <c r="B693">
        <f>IF(Crowdfunding!G693="successful",Crowdfunding!H693,0)</f>
        <v>237</v>
      </c>
      <c r="C693" t="str">
        <f>IF(Crowdfunding!G693="failed","failed","")</f>
        <v/>
      </c>
      <c r="D693">
        <f>IF(Crowdfunding!G693="failed",Crowdfunding!H693,0)</f>
        <v>0</v>
      </c>
    </row>
    <row r="694" spans="1:4" x14ac:dyDescent="0.25">
      <c r="A694" t="str">
        <f>IF(Crowdfunding!G694="successful","successful","")</f>
        <v/>
      </c>
      <c r="B694">
        <f>IF(Crowdfunding!G694="successful",Crowdfunding!H694,0)</f>
        <v>0</v>
      </c>
      <c r="C694" t="str">
        <f>IF(Crowdfunding!G694="failed","failed","")</f>
        <v>failed</v>
      </c>
      <c r="D694">
        <f>IF(Crowdfunding!G694="failed",Crowdfunding!H694,0)</f>
        <v>77</v>
      </c>
    </row>
    <row r="695" spans="1:4" x14ac:dyDescent="0.25">
      <c r="A695" t="str">
        <f>IF(Crowdfunding!G695="successful","successful","")</f>
        <v/>
      </c>
      <c r="B695">
        <f>IF(Crowdfunding!G695="successful",Crowdfunding!H695,0)</f>
        <v>0</v>
      </c>
      <c r="C695" t="str">
        <f>IF(Crowdfunding!G695="failed","failed","")</f>
        <v>failed</v>
      </c>
      <c r="D695">
        <f>IF(Crowdfunding!G695="failed",Crowdfunding!H695,0)</f>
        <v>1748</v>
      </c>
    </row>
    <row r="696" spans="1:4" x14ac:dyDescent="0.25">
      <c r="A696" t="str">
        <f>IF(Crowdfunding!G696="successful","successful","")</f>
        <v/>
      </c>
      <c r="B696">
        <f>IF(Crowdfunding!G696="successful",Crowdfunding!H696,0)</f>
        <v>0</v>
      </c>
      <c r="C696" t="str">
        <f>IF(Crowdfunding!G696="failed","failed","")</f>
        <v>failed</v>
      </c>
      <c r="D696">
        <f>IF(Crowdfunding!G696="failed",Crowdfunding!H696,0)</f>
        <v>79</v>
      </c>
    </row>
    <row r="697" spans="1:4" x14ac:dyDescent="0.25">
      <c r="A697" t="str">
        <f>IF(Crowdfunding!G697="successful","successful","")</f>
        <v>successful</v>
      </c>
      <c r="B697">
        <f>IF(Crowdfunding!G697="successful",Crowdfunding!H697,0)</f>
        <v>196</v>
      </c>
      <c r="C697" t="str">
        <f>IF(Crowdfunding!G697="failed","failed","")</f>
        <v/>
      </c>
      <c r="D697">
        <f>IF(Crowdfunding!G697="failed",Crowdfunding!H697,0)</f>
        <v>0</v>
      </c>
    </row>
    <row r="698" spans="1:4" x14ac:dyDescent="0.25">
      <c r="A698" t="str">
        <f>IF(Crowdfunding!G698="successful","successful","")</f>
        <v/>
      </c>
      <c r="B698">
        <f>IF(Crowdfunding!G698="successful",Crowdfunding!H698,0)</f>
        <v>0</v>
      </c>
      <c r="C698" t="str">
        <f>IF(Crowdfunding!G698="failed","failed","")</f>
        <v>failed</v>
      </c>
      <c r="D698">
        <f>IF(Crowdfunding!G698="failed",Crowdfunding!H698,0)</f>
        <v>889</v>
      </c>
    </row>
    <row r="699" spans="1:4" x14ac:dyDescent="0.25">
      <c r="A699" t="str">
        <f>IF(Crowdfunding!G699="successful","successful","")</f>
        <v>successful</v>
      </c>
      <c r="B699">
        <f>IF(Crowdfunding!G699="successful",Crowdfunding!H699,0)</f>
        <v>7295</v>
      </c>
      <c r="C699" t="str">
        <f>IF(Crowdfunding!G699="failed","failed","")</f>
        <v/>
      </c>
      <c r="D699">
        <f>IF(Crowdfunding!G699="failed",Crowdfunding!H699,0)</f>
        <v>0</v>
      </c>
    </row>
    <row r="700" spans="1:4" x14ac:dyDescent="0.25">
      <c r="A700" t="str">
        <f>IF(Crowdfunding!G700="successful","successful","")</f>
        <v>successful</v>
      </c>
      <c r="B700">
        <f>IF(Crowdfunding!G700="successful",Crowdfunding!H700,0)</f>
        <v>2893</v>
      </c>
      <c r="C700" t="str">
        <f>IF(Crowdfunding!G700="failed","failed","")</f>
        <v/>
      </c>
      <c r="D700">
        <f>IF(Crowdfunding!G700="failed",Crowdfunding!H700,0)</f>
        <v>0</v>
      </c>
    </row>
    <row r="701" spans="1:4" x14ac:dyDescent="0.25">
      <c r="A701" t="str">
        <f>IF(Crowdfunding!G701="successful","successful","")</f>
        <v/>
      </c>
      <c r="B701">
        <f>IF(Crowdfunding!G701="successful",Crowdfunding!H701,0)</f>
        <v>0</v>
      </c>
      <c r="C701" t="str">
        <f>IF(Crowdfunding!G701="failed","failed","")</f>
        <v>failed</v>
      </c>
      <c r="D701">
        <f>IF(Crowdfunding!G701="failed",Crowdfunding!H701,0)</f>
        <v>56</v>
      </c>
    </row>
    <row r="702" spans="1:4" x14ac:dyDescent="0.25">
      <c r="A702" t="str">
        <f>IF(Crowdfunding!G702="successful","successful","")</f>
        <v/>
      </c>
      <c r="B702">
        <f>IF(Crowdfunding!G702="successful",Crowdfunding!H702,0)</f>
        <v>0</v>
      </c>
      <c r="C702" t="str">
        <f>IF(Crowdfunding!G702="failed","failed","")</f>
        <v>failed</v>
      </c>
      <c r="D702">
        <f>IF(Crowdfunding!G702="failed",Crowdfunding!H702,0)</f>
        <v>1</v>
      </c>
    </row>
    <row r="703" spans="1:4" x14ac:dyDescent="0.25">
      <c r="A703" t="str">
        <f>IF(Crowdfunding!G703="successful","successful","")</f>
        <v>successful</v>
      </c>
      <c r="B703">
        <f>IF(Crowdfunding!G703="successful",Crowdfunding!H703,0)</f>
        <v>820</v>
      </c>
      <c r="C703" t="str">
        <f>IF(Crowdfunding!G703="failed","failed","")</f>
        <v/>
      </c>
      <c r="D703">
        <f>IF(Crowdfunding!G703="failed",Crowdfunding!H703,0)</f>
        <v>0</v>
      </c>
    </row>
    <row r="704" spans="1:4" x14ac:dyDescent="0.25">
      <c r="A704" t="str">
        <f>IF(Crowdfunding!G704="successful","successful","")</f>
        <v/>
      </c>
      <c r="B704">
        <f>IF(Crowdfunding!G704="successful",Crowdfunding!H704,0)</f>
        <v>0</v>
      </c>
      <c r="C704" t="str">
        <f>IF(Crowdfunding!G704="failed","failed","")</f>
        <v>failed</v>
      </c>
      <c r="D704">
        <f>IF(Crowdfunding!G704="failed",Crowdfunding!H704,0)</f>
        <v>83</v>
      </c>
    </row>
    <row r="705" spans="1:4" x14ac:dyDescent="0.25">
      <c r="A705" t="str">
        <f>IF(Crowdfunding!G705="successful","successful","")</f>
        <v>successful</v>
      </c>
      <c r="B705">
        <f>IF(Crowdfunding!G705="successful",Crowdfunding!H705,0)</f>
        <v>2038</v>
      </c>
      <c r="C705" t="str">
        <f>IF(Crowdfunding!G705="failed","failed","")</f>
        <v/>
      </c>
      <c r="D705">
        <f>IF(Crowdfunding!G705="failed",Crowdfunding!H705,0)</f>
        <v>0</v>
      </c>
    </row>
    <row r="706" spans="1:4" x14ac:dyDescent="0.25">
      <c r="A706" t="str">
        <f>IF(Crowdfunding!G706="successful","successful","")</f>
        <v>successful</v>
      </c>
      <c r="B706">
        <f>IF(Crowdfunding!G706="successful",Crowdfunding!H706,0)</f>
        <v>116</v>
      </c>
      <c r="C706" t="str">
        <f>IF(Crowdfunding!G706="failed","failed","")</f>
        <v/>
      </c>
      <c r="D706">
        <f>IF(Crowdfunding!G706="failed",Crowdfunding!H706,0)</f>
        <v>0</v>
      </c>
    </row>
    <row r="707" spans="1:4" x14ac:dyDescent="0.25">
      <c r="A707" t="str">
        <f>IF(Crowdfunding!G707="successful","successful","")</f>
        <v/>
      </c>
      <c r="B707">
        <f>IF(Crowdfunding!G707="successful",Crowdfunding!H707,0)</f>
        <v>0</v>
      </c>
      <c r="C707" t="str">
        <f>IF(Crowdfunding!G707="failed","failed","")</f>
        <v>failed</v>
      </c>
      <c r="D707">
        <f>IF(Crowdfunding!G707="failed",Crowdfunding!H707,0)</f>
        <v>2025</v>
      </c>
    </row>
    <row r="708" spans="1:4" x14ac:dyDescent="0.25">
      <c r="A708" t="str">
        <f>IF(Crowdfunding!G708="successful","successful","")</f>
        <v>successful</v>
      </c>
      <c r="B708">
        <f>IF(Crowdfunding!G708="successful",Crowdfunding!H708,0)</f>
        <v>1345</v>
      </c>
      <c r="C708" t="str">
        <f>IF(Crowdfunding!G708="failed","failed","")</f>
        <v/>
      </c>
      <c r="D708">
        <f>IF(Crowdfunding!G708="failed",Crowdfunding!H708,0)</f>
        <v>0</v>
      </c>
    </row>
    <row r="709" spans="1:4" x14ac:dyDescent="0.25">
      <c r="A709" t="str">
        <f>IF(Crowdfunding!G709="successful","successful","")</f>
        <v>successful</v>
      </c>
      <c r="B709">
        <f>IF(Crowdfunding!G709="successful",Crowdfunding!H709,0)</f>
        <v>168</v>
      </c>
      <c r="C709" t="str">
        <f>IF(Crowdfunding!G709="failed","failed","")</f>
        <v/>
      </c>
      <c r="D709">
        <f>IF(Crowdfunding!G709="failed",Crowdfunding!H709,0)</f>
        <v>0</v>
      </c>
    </row>
    <row r="710" spans="1:4" x14ac:dyDescent="0.25">
      <c r="A710" t="str">
        <f>IF(Crowdfunding!G710="successful","successful","")</f>
        <v>successful</v>
      </c>
      <c r="B710">
        <f>IF(Crowdfunding!G710="successful",Crowdfunding!H710,0)</f>
        <v>137</v>
      </c>
      <c r="C710" t="str">
        <f>IF(Crowdfunding!G710="failed","failed","")</f>
        <v/>
      </c>
      <c r="D710">
        <f>IF(Crowdfunding!G710="failed",Crowdfunding!H710,0)</f>
        <v>0</v>
      </c>
    </row>
    <row r="711" spans="1:4" x14ac:dyDescent="0.25">
      <c r="A711" t="str">
        <f>IF(Crowdfunding!G711="successful","successful","")</f>
        <v>successful</v>
      </c>
      <c r="B711">
        <f>IF(Crowdfunding!G711="successful",Crowdfunding!H711,0)</f>
        <v>186</v>
      </c>
      <c r="C711" t="str">
        <f>IF(Crowdfunding!G711="failed","failed","")</f>
        <v/>
      </c>
      <c r="D711">
        <f>IF(Crowdfunding!G711="failed",Crowdfunding!H711,0)</f>
        <v>0</v>
      </c>
    </row>
    <row r="712" spans="1:4" x14ac:dyDescent="0.25">
      <c r="A712" t="str">
        <f>IF(Crowdfunding!G712="successful","successful","")</f>
        <v>successful</v>
      </c>
      <c r="B712">
        <f>IF(Crowdfunding!G712="successful",Crowdfunding!H712,0)</f>
        <v>125</v>
      </c>
      <c r="C712" t="str">
        <f>IF(Crowdfunding!G712="failed","failed","")</f>
        <v/>
      </c>
      <c r="D712">
        <f>IF(Crowdfunding!G712="failed",Crowdfunding!H712,0)</f>
        <v>0</v>
      </c>
    </row>
    <row r="713" spans="1:4" x14ac:dyDescent="0.25">
      <c r="A713" t="str">
        <f>IF(Crowdfunding!G713="successful","successful","")</f>
        <v/>
      </c>
      <c r="B713">
        <f>IF(Crowdfunding!G713="successful",Crowdfunding!H713,0)</f>
        <v>0</v>
      </c>
      <c r="C713" t="str">
        <f>IF(Crowdfunding!G713="failed","failed","")</f>
        <v>failed</v>
      </c>
      <c r="D713">
        <f>IF(Crowdfunding!G713="failed",Crowdfunding!H713,0)</f>
        <v>14</v>
      </c>
    </row>
    <row r="714" spans="1:4" x14ac:dyDescent="0.25">
      <c r="A714" t="str">
        <f>IF(Crowdfunding!G714="successful","successful","")</f>
        <v>successful</v>
      </c>
      <c r="B714">
        <f>IF(Crowdfunding!G714="successful",Crowdfunding!H714,0)</f>
        <v>202</v>
      </c>
      <c r="C714" t="str">
        <f>IF(Crowdfunding!G714="failed","failed","")</f>
        <v/>
      </c>
      <c r="D714">
        <f>IF(Crowdfunding!G714="failed",Crowdfunding!H714,0)</f>
        <v>0</v>
      </c>
    </row>
    <row r="715" spans="1:4" x14ac:dyDescent="0.25">
      <c r="A715" t="str">
        <f>IF(Crowdfunding!G715="successful","successful","")</f>
        <v>successful</v>
      </c>
      <c r="B715">
        <f>IF(Crowdfunding!G715="successful",Crowdfunding!H715,0)</f>
        <v>103</v>
      </c>
      <c r="C715" t="str">
        <f>IF(Crowdfunding!G715="failed","failed","")</f>
        <v/>
      </c>
      <c r="D715">
        <f>IF(Crowdfunding!G715="failed",Crowdfunding!H715,0)</f>
        <v>0</v>
      </c>
    </row>
    <row r="716" spans="1:4" x14ac:dyDescent="0.25">
      <c r="A716" t="str">
        <f>IF(Crowdfunding!G716="successful","successful","")</f>
        <v>successful</v>
      </c>
      <c r="B716">
        <f>IF(Crowdfunding!G716="successful",Crowdfunding!H716,0)</f>
        <v>1785</v>
      </c>
      <c r="C716" t="str">
        <f>IF(Crowdfunding!G716="failed","failed","")</f>
        <v/>
      </c>
      <c r="D716">
        <f>IF(Crowdfunding!G716="failed",Crowdfunding!H716,0)</f>
        <v>0</v>
      </c>
    </row>
    <row r="717" spans="1:4" x14ac:dyDescent="0.25">
      <c r="A717" t="str">
        <f>IF(Crowdfunding!G717="successful","successful","")</f>
        <v/>
      </c>
      <c r="B717">
        <f>IF(Crowdfunding!G717="successful",Crowdfunding!H717,0)</f>
        <v>0</v>
      </c>
      <c r="C717" t="str">
        <f>IF(Crowdfunding!G717="failed","failed","")</f>
        <v>failed</v>
      </c>
      <c r="D717">
        <f>IF(Crowdfunding!G717="failed",Crowdfunding!H717,0)</f>
        <v>656</v>
      </c>
    </row>
    <row r="718" spans="1:4" x14ac:dyDescent="0.25">
      <c r="A718" t="str">
        <f>IF(Crowdfunding!G718="successful","successful","")</f>
        <v>successful</v>
      </c>
      <c r="B718">
        <f>IF(Crowdfunding!G718="successful",Crowdfunding!H718,0)</f>
        <v>157</v>
      </c>
      <c r="C718" t="str">
        <f>IF(Crowdfunding!G718="failed","failed","")</f>
        <v/>
      </c>
      <c r="D718">
        <f>IF(Crowdfunding!G718="failed",Crowdfunding!H718,0)</f>
        <v>0</v>
      </c>
    </row>
    <row r="719" spans="1:4" x14ac:dyDescent="0.25">
      <c r="A719" t="str">
        <f>IF(Crowdfunding!G719="successful","successful","")</f>
        <v>successful</v>
      </c>
      <c r="B719">
        <f>IF(Crowdfunding!G719="successful",Crowdfunding!H719,0)</f>
        <v>555</v>
      </c>
      <c r="C719" t="str">
        <f>IF(Crowdfunding!G719="failed","failed","")</f>
        <v/>
      </c>
      <c r="D719">
        <f>IF(Crowdfunding!G719="failed",Crowdfunding!H719,0)</f>
        <v>0</v>
      </c>
    </row>
    <row r="720" spans="1:4" x14ac:dyDescent="0.25">
      <c r="A720" t="str">
        <f>IF(Crowdfunding!G720="successful","successful","")</f>
        <v>successful</v>
      </c>
      <c r="B720">
        <f>IF(Crowdfunding!G720="successful",Crowdfunding!H720,0)</f>
        <v>297</v>
      </c>
      <c r="C720" t="str">
        <f>IF(Crowdfunding!G720="failed","failed","")</f>
        <v/>
      </c>
      <c r="D720">
        <f>IF(Crowdfunding!G720="failed",Crowdfunding!H720,0)</f>
        <v>0</v>
      </c>
    </row>
    <row r="721" spans="1:4" x14ac:dyDescent="0.25">
      <c r="A721" t="str">
        <f>IF(Crowdfunding!G721="successful","successful","")</f>
        <v>successful</v>
      </c>
      <c r="B721">
        <f>IF(Crowdfunding!G721="successful",Crowdfunding!H721,0)</f>
        <v>123</v>
      </c>
      <c r="C721" t="str">
        <f>IF(Crowdfunding!G721="failed","failed","")</f>
        <v/>
      </c>
      <c r="D721">
        <f>IF(Crowdfunding!G721="failed",Crowdfunding!H721,0)</f>
        <v>0</v>
      </c>
    </row>
    <row r="722" spans="1:4" x14ac:dyDescent="0.25">
      <c r="A722" t="str">
        <f>IF(Crowdfunding!G722="successful","successful","")</f>
        <v/>
      </c>
      <c r="B722">
        <f>IF(Crowdfunding!G722="successful",Crowdfunding!H722,0)</f>
        <v>0</v>
      </c>
      <c r="C722" t="str">
        <f>IF(Crowdfunding!G722="failed","failed","")</f>
        <v/>
      </c>
      <c r="D722">
        <f>IF(Crowdfunding!G722="failed",Crowdfunding!H722,0)</f>
        <v>0</v>
      </c>
    </row>
    <row r="723" spans="1:4" x14ac:dyDescent="0.25">
      <c r="A723" t="str">
        <f>IF(Crowdfunding!G723="successful","successful","")</f>
        <v/>
      </c>
      <c r="B723">
        <f>IF(Crowdfunding!G723="successful",Crowdfunding!H723,0)</f>
        <v>0</v>
      </c>
      <c r="C723" t="str">
        <f>IF(Crowdfunding!G723="failed","failed","")</f>
        <v/>
      </c>
      <c r="D723">
        <f>IF(Crowdfunding!G723="failed",Crowdfunding!H723,0)</f>
        <v>0</v>
      </c>
    </row>
    <row r="724" spans="1:4" x14ac:dyDescent="0.25">
      <c r="A724" t="str">
        <f>IF(Crowdfunding!G724="successful","successful","")</f>
        <v>successful</v>
      </c>
      <c r="B724">
        <f>IF(Crowdfunding!G724="successful",Crowdfunding!H724,0)</f>
        <v>3036</v>
      </c>
      <c r="C724" t="str">
        <f>IF(Crowdfunding!G724="failed","failed","")</f>
        <v/>
      </c>
      <c r="D724">
        <f>IF(Crowdfunding!G724="failed",Crowdfunding!H724,0)</f>
        <v>0</v>
      </c>
    </row>
    <row r="725" spans="1:4" x14ac:dyDescent="0.25">
      <c r="A725" t="str">
        <f>IF(Crowdfunding!G725="successful","successful","")</f>
        <v>successful</v>
      </c>
      <c r="B725">
        <f>IF(Crowdfunding!G725="successful",Crowdfunding!H725,0)</f>
        <v>144</v>
      </c>
      <c r="C725" t="str">
        <f>IF(Crowdfunding!G725="failed","failed","")</f>
        <v/>
      </c>
      <c r="D725">
        <f>IF(Crowdfunding!G725="failed",Crowdfunding!H725,0)</f>
        <v>0</v>
      </c>
    </row>
    <row r="726" spans="1:4" x14ac:dyDescent="0.25">
      <c r="A726" t="str">
        <f>IF(Crowdfunding!G726="successful","successful","")</f>
        <v>successful</v>
      </c>
      <c r="B726">
        <f>IF(Crowdfunding!G726="successful",Crowdfunding!H726,0)</f>
        <v>121</v>
      </c>
      <c r="C726" t="str">
        <f>IF(Crowdfunding!G726="failed","failed","")</f>
        <v/>
      </c>
      <c r="D726">
        <f>IF(Crowdfunding!G726="failed",Crowdfunding!H726,0)</f>
        <v>0</v>
      </c>
    </row>
    <row r="727" spans="1:4" x14ac:dyDescent="0.25">
      <c r="A727" t="str">
        <f>IF(Crowdfunding!G727="successful","successful","")</f>
        <v/>
      </c>
      <c r="B727">
        <f>IF(Crowdfunding!G727="successful",Crowdfunding!H727,0)</f>
        <v>0</v>
      </c>
      <c r="C727" t="str">
        <f>IF(Crowdfunding!G727="failed","failed","")</f>
        <v>failed</v>
      </c>
      <c r="D727">
        <f>IF(Crowdfunding!G727="failed",Crowdfunding!H727,0)</f>
        <v>1596</v>
      </c>
    </row>
    <row r="728" spans="1:4" x14ac:dyDescent="0.25">
      <c r="A728" t="str">
        <f>IF(Crowdfunding!G728="successful","successful","")</f>
        <v/>
      </c>
      <c r="B728">
        <f>IF(Crowdfunding!G728="successful",Crowdfunding!H728,0)</f>
        <v>0</v>
      </c>
      <c r="C728" t="str">
        <f>IF(Crowdfunding!G728="failed","failed","")</f>
        <v/>
      </c>
      <c r="D728">
        <f>IF(Crowdfunding!G728="failed",Crowdfunding!H728,0)</f>
        <v>0</v>
      </c>
    </row>
    <row r="729" spans="1:4" x14ac:dyDescent="0.25">
      <c r="A729" t="str">
        <f>IF(Crowdfunding!G729="successful","successful","")</f>
        <v>successful</v>
      </c>
      <c r="B729">
        <f>IF(Crowdfunding!G729="successful",Crowdfunding!H729,0)</f>
        <v>181</v>
      </c>
      <c r="C729" t="str">
        <f>IF(Crowdfunding!G729="failed","failed","")</f>
        <v/>
      </c>
      <c r="D729">
        <f>IF(Crowdfunding!G729="failed",Crowdfunding!H729,0)</f>
        <v>0</v>
      </c>
    </row>
    <row r="730" spans="1:4" x14ac:dyDescent="0.25">
      <c r="A730" t="str">
        <f>IF(Crowdfunding!G730="successful","successful","")</f>
        <v/>
      </c>
      <c r="B730">
        <f>IF(Crowdfunding!G730="successful",Crowdfunding!H730,0)</f>
        <v>0</v>
      </c>
      <c r="C730" t="str">
        <f>IF(Crowdfunding!G730="failed","failed","")</f>
        <v>failed</v>
      </c>
      <c r="D730">
        <f>IF(Crowdfunding!G730="failed",Crowdfunding!H730,0)</f>
        <v>10</v>
      </c>
    </row>
    <row r="731" spans="1:4" x14ac:dyDescent="0.25">
      <c r="A731" t="str">
        <f>IF(Crowdfunding!G731="successful","successful","")</f>
        <v>successful</v>
      </c>
      <c r="B731">
        <f>IF(Crowdfunding!G731="successful",Crowdfunding!H731,0)</f>
        <v>122</v>
      </c>
      <c r="C731" t="str">
        <f>IF(Crowdfunding!G731="failed","failed","")</f>
        <v/>
      </c>
      <c r="D731">
        <f>IF(Crowdfunding!G731="failed",Crowdfunding!H731,0)</f>
        <v>0</v>
      </c>
    </row>
    <row r="732" spans="1:4" x14ac:dyDescent="0.25">
      <c r="A732" t="str">
        <f>IF(Crowdfunding!G732="successful","successful","")</f>
        <v>successful</v>
      </c>
      <c r="B732">
        <f>IF(Crowdfunding!G732="successful",Crowdfunding!H732,0)</f>
        <v>1071</v>
      </c>
      <c r="C732" t="str">
        <f>IF(Crowdfunding!G732="failed","failed","")</f>
        <v/>
      </c>
      <c r="D732">
        <f>IF(Crowdfunding!G732="failed",Crowdfunding!H732,0)</f>
        <v>0</v>
      </c>
    </row>
    <row r="733" spans="1:4" x14ac:dyDescent="0.25">
      <c r="A733" t="str">
        <f>IF(Crowdfunding!G733="successful","successful","")</f>
        <v/>
      </c>
      <c r="B733">
        <f>IF(Crowdfunding!G733="successful",Crowdfunding!H733,0)</f>
        <v>0</v>
      </c>
      <c r="C733" t="str">
        <f>IF(Crowdfunding!G733="failed","failed","")</f>
        <v/>
      </c>
      <c r="D733">
        <f>IF(Crowdfunding!G733="failed",Crowdfunding!H733,0)</f>
        <v>0</v>
      </c>
    </row>
    <row r="734" spans="1:4" x14ac:dyDescent="0.25">
      <c r="A734" t="str">
        <f>IF(Crowdfunding!G734="successful","successful","")</f>
        <v/>
      </c>
      <c r="B734">
        <f>IF(Crowdfunding!G734="successful",Crowdfunding!H734,0)</f>
        <v>0</v>
      </c>
      <c r="C734" t="str">
        <f>IF(Crowdfunding!G734="failed","failed","")</f>
        <v>failed</v>
      </c>
      <c r="D734">
        <f>IF(Crowdfunding!G734="failed",Crowdfunding!H734,0)</f>
        <v>1121</v>
      </c>
    </row>
    <row r="735" spans="1:4" x14ac:dyDescent="0.25">
      <c r="A735" t="str">
        <f>IF(Crowdfunding!G735="successful","successful","")</f>
        <v>successful</v>
      </c>
      <c r="B735">
        <f>IF(Crowdfunding!G735="successful",Crowdfunding!H735,0)</f>
        <v>980</v>
      </c>
      <c r="C735" t="str">
        <f>IF(Crowdfunding!G735="failed","failed","")</f>
        <v/>
      </c>
      <c r="D735">
        <f>IF(Crowdfunding!G735="failed",Crowdfunding!H735,0)</f>
        <v>0</v>
      </c>
    </row>
    <row r="736" spans="1:4" x14ac:dyDescent="0.25">
      <c r="A736" t="str">
        <f>IF(Crowdfunding!G736="successful","successful","")</f>
        <v>successful</v>
      </c>
      <c r="B736">
        <f>IF(Crowdfunding!G736="successful",Crowdfunding!H736,0)</f>
        <v>536</v>
      </c>
      <c r="C736" t="str">
        <f>IF(Crowdfunding!G736="failed","failed","")</f>
        <v/>
      </c>
      <c r="D736">
        <f>IF(Crowdfunding!G736="failed",Crowdfunding!H736,0)</f>
        <v>0</v>
      </c>
    </row>
    <row r="737" spans="1:4" x14ac:dyDescent="0.25">
      <c r="A737" t="str">
        <f>IF(Crowdfunding!G737="successful","successful","")</f>
        <v>successful</v>
      </c>
      <c r="B737">
        <f>IF(Crowdfunding!G737="successful",Crowdfunding!H737,0)</f>
        <v>1991</v>
      </c>
      <c r="C737" t="str">
        <f>IF(Crowdfunding!G737="failed","failed","")</f>
        <v/>
      </c>
      <c r="D737">
        <f>IF(Crowdfunding!G737="failed",Crowdfunding!H737,0)</f>
        <v>0</v>
      </c>
    </row>
    <row r="738" spans="1:4" x14ac:dyDescent="0.25">
      <c r="A738" t="str">
        <f>IF(Crowdfunding!G738="successful","successful","")</f>
        <v/>
      </c>
      <c r="B738">
        <f>IF(Crowdfunding!G738="successful",Crowdfunding!H738,0)</f>
        <v>0</v>
      </c>
      <c r="C738" t="str">
        <f>IF(Crowdfunding!G738="failed","failed","")</f>
        <v/>
      </c>
      <c r="D738">
        <f>IF(Crowdfunding!G738="failed",Crowdfunding!H738,0)</f>
        <v>0</v>
      </c>
    </row>
    <row r="739" spans="1:4" x14ac:dyDescent="0.25">
      <c r="A739" t="str">
        <f>IF(Crowdfunding!G739="successful","successful","")</f>
        <v>successful</v>
      </c>
      <c r="B739">
        <f>IF(Crowdfunding!G739="successful",Crowdfunding!H739,0)</f>
        <v>180</v>
      </c>
      <c r="C739" t="str">
        <f>IF(Crowdfunding!G739="failed","failed","")</f>
        <v/>
      </c>
      <c r="D739">
        <f>IF(Crowdfunding!G739="failed",Crowdfunding!H739,0)</f>
        <v>0</v>
      </c>
    </row>
    <row r="740" spans="1:4" x14ac:dyDescent="0.25">
      <c r="A740" t="str">
        <f>IF(Crowdfunding!G740="successful","successful","")</f>
        <v/>
      </c>
      <c r="B740">
        <f>IF(Crowdfunding!G740="successful",Crowdfunding!H740,0)</f>
        <v>0</v>
      </c>
      <c r="C740" t="str">
        <f>IF(Crowdfunding!G740="failed","failed","")</f>
        <v>failed</v>
      </c>
      <c r="D740">
        <f>IF(Crowdfunding!G740="failed",Crowdfunding!H740,0)</f>
        <v>15</v>
      </c>
    </row>
    <row r="741" spans="1:4" x14ac:dyDescent="0.25">
      <c r="A741" t="str">
        <f>IF(Crowdfunding!G741="successful","successful","")</f>
        <v/>
      </c>
      <c r="B741">
        <f>IF(Crowdfunding!G741="successful",Crowdfunding!H741,0)</f>
        <v>0</v>
      </c>
      <c r="C741" t="str">
        <f>IF(Crowdfunding!G741="failed","failed","")</f>
        <v>failed</v>
      </c>
      <c r="D741">
        <f>IF(Crowdfunding!G741="failed",Crowdfunding!H741,0)</f>
        <v>191</v>
      </c>
    </row>
    <row r="742" spans="1:4" x14ac:dyDescent="0.25">
      <c r="A742" t="str">
        <f>IF(Crowdfunding!G742="successful","successful","")</f>
        <v/>
      </c>
      <c r="B742">
        <f>IF(Crowdfunding!G742="successful",Crowdfunding!H742,0)</f>
        <v>0</v>
      </c>
      <c r="C742" t="str">
        <f>IF(Crowdfunding!G742="failed","failed","")</f>
        <v>failed</v>
      </c>
      <c r="D742">
        <f>IF(Crowdfunding!G742="failed",Crowdfunding!H742,0)</f>
        <v>16</v>
      </c>
    </row>
    <row r="743" spans="1:4" x14ac:dyDescent="0.25">
      <c r="A743" t="str">
        <f>IF(Crowdfunding!G743="successful","successful","")</f>
        <v>successful</v>
      </c>
      <c r="B743">
        <f>IF(Crowdfunding!G743="successful",Crowdfunding!H743,0)</f>
        <v>130</v>
      </c>
      <c r="C743" t="str">
        <f>IF(Crowdfunding!G743="failed","failed","")</f>
        <v/>
      </c>
      <c r="D743">
        <f>IF(Crowdfunding!G743="failed",Crowdfunding!H743,0)</f>
        <v>0</v>
      </c>
    </row>
    <row r="744" spans="1:4" x14ac:dyDescent="0.25">
      <c r="A744" t="str">
        <f>IF(Crowdfunding!G744="successful","successful","")</f>
        <v>successful</v>
      </c>
      <c r="B744">
        <f>IF(Crowdfunding!G744="successful",Crowdfunding!H744,0)</f>
        <v>122</v>
      </c>
      <c r="C744" t="str">
        <f>IF(Crowdfunding!G744="failed","failed","")</f>
        <v/>
      </c>
      <c r="D744">
        <f>IF(Crowdfunding!G744="failed",Crowdfunding!H744,0)</f>
        <v>0</v>
      </c>
    </row>
    <row r="745" spans="1:4" x14ac:dyDescent="0.25">
      <c r="A745" t="str">
        <f>IF(Crowdfunding!G745="successful","successful","")</f>
        <v/>
      </c>
      <c r="B745">
        <f>IF(Crowdfunding!G745="successful",Crowdfunding!H745,0)</f>
        <v>0</v>
      </c>
      <c r="C745" t="str">
        <f>IF(Crowdfunding!G745="failed","failed","")</f>
        <v>failed</v>
      </c>
      <c r="D745">
        <f>IF(Crowdfunding!G745="failed",Crowdfunding!H745,0)</f>
        <v>17</v>
      </c>
    </row>
    <row r="746" spans="1:4" x14ac:dyDescent="0.25">
      <c r="A746" t="str">
        <f>IF(Crowdfunding!G746="successful","successful","")</f>
        <v>successful</v>
      </c>
      <c r="B746">
        <f>IF(Crowdfunding!G746="successful",Crowdfunding!H746,0)</f>
        <v>140</v>
      </c>
      <c r="C746" t="str">
        <f>IF(Crowdfunding!G746="failed","failed","")</f>
        <v/>
      </c>
      <c r="D746">
        <f>IF(Crowdfunding!G746="failed",Crowdfunding!H746,0)</f>
        <v>0</v>
      </c>
    </row>
    <row r="747" spans="1:4" x14ac:dyDescent="0.25">
      <c r="A747" t="str">
        <f>IF(Crowdfunding!G747="successful","successful","")</f>
        <v/>
      </c>
      <c r="B747">
        <f>IF(Crowdfunding!G747="successful",Crowdfunding!H747,0)</f>
        <v>0</v>
      </c>
      <c r="C747" t="str">
        <f>IF(Crowdfunding!G747="failed","failed","")</f>
        <v>failed</v>
      </c>
      <c r="D747">
        <f>IF(Crowdfunding!G747="failed",Crowdfunding!H747,0)</f>
        <v>34</v>
      </c>
    </row>
    <row r="748" spans="1:4" x14ac:dyDescent="0.25">
      <c r="A748" t="str">
        <f>IF(Crowdfunding!G748="successful","successful","")</f>
        <v>successful</v>
      </c>
      <c r="B748">
        <f>IF(Crowdfunding!G748="successful",Crowdfunding!H748,0)</f>
        <v>3388</v>
      </c>
      <c r="C748" t="str">
        <f>IF(Crowdfunding!G748="failed","failed","")</f>
        <v/>
      </c>
      <c r="D748">
        <f>IF(Crowdfunding!G748="failed",Crowdfunding!H748,0)</f>
        <v>0</v>
      </c>
    </row>
    <row r="749" spans="1:4" x14ac:dyDescent="0.25">
      <c r="A749" t="str">
        <f>IF(Crowdfunding!G749="successful","successful","")</f>
        <v>successful</v>
      </c>
      <c r="B749">
        <f>IF(Crowdfunding!G749="successful",Crowdfunding!H749,0)</f>
        <v>280</v>
      </c>
      <c r="C749" t="str">
        <f>IF(Crowdfunding!G749="failed","failed","")</f>
        <v/>
      </c>
      <c r="D749">
        <f>IF(Crowdfunding!G749="failed",Crowdfunding!H749,0)</f>
        <v>0</v>
      </c>
    </row>
    <row r="750" spans="1:4" x14ac:dyDescent="0.25">
      <c r="A750" t="str">
        <f>IF(Crowdfunding!G750="successful","successful","")</f>
        <v/>
      </c>
      <c r="B750">
        <f>IF(Crowdfunding!G750="successful",Crowdfunding!H750,0)</f>
        <v>0</v>
      </c>
      <c r="C750" t="str">
        <f>IF(Crowdfunding!G750="failed","failed","")</f>
        <v/>
      </c>
      <c r="D750">
        <f>IF(Crowdfunding!G750="failed",Crowdfunding!H750,0)</f>
        <v>0</v>
      </c>
    </row>
    <row r="751" spans="1:4" x14ac:dyDescent="0.25">
      <c r="A751" t="str">
        <f>IF(Crowdfunding!G751="successful","successful","")</f>
        <v>successful</v>
      </c>
      <c r="B751">
        <f>IF(Crowdfunding!G751="successful",Crowdfunding!H751,0)</f>
        <v>366</v>
      </c>
      <c r="C751" t="str">
        <f>IF(Crowdfunding!G751="failed","failed","")</f>
        <v/>
      </c>
      <c r="D751">
        <f>IF(Crowdfunding!G751="failed",Crowdfunding!H751,0)</f>
        <v>0</v>
      </c>
    </row>
    <row r="752" spans="1:4" x14ac:dyDescent="0.25">
      <c r="A752" t="str">
        <f>IF(Crowdfunding!G752="successful","successful","")</f>
        <v/>
      </c>
      <c r="B752">
        <f>IF(Crowdfunding!G752="successful",Crowdfunding!H752,0)</f>
        <v>0</v>
      </c>
      <c r="C752" t="str">
        <f>IF(Crowdfunding!G752="failed","failed","")</f>
        <v>failed</v>
      </c>
      <c r="D752">
        <f>IF(Crowdfunding!G752="failed",Crowdfunding!H752,0)</f>
        <v>1</v>
      </c>
    </row>
    <row r="753" spans="1:4" x14ac:dyDescent="0.25">
      <c r="A753" t="str">
        <f>IF(Crowdfunding!G753="successful","successful","")</f>
        <v>successful</v>
      </c>
      <c r="B753">
        <f>IF(Crowdfunding!G753="successful",Crowdfunding!H753,0)</f>
        <v>270</v>
      </c>
      <c r="C753" t="str">
        <f>IF(Crowdfunding!G753="failed","failed","")</f>
        <v/>
      </c>
      <c r="D753">
        <f>IF(Crowdfunding!G753="failed",Crowdfunding!H753,0)</f>
        <v>0</v>
      </c>
    </row>
    <row r="754" spans="1:4" x14ac:dyDescent="0.25">
      <c r="A754" t="str">
        <f>IF(Crowdfunding!G754="successful","successful","")</f>
        <v/>
      </c>
      <c r="B754">
        <f>IF(Crowdfunding!G754="successful",Crowdfunding!H754,0)</f>
        <v>0</v>
      </c>
      <c r="C754" t="str">
        <f>IF(Crowdfunding!G754="failed","failed","")</f>
        <v/>
      </c>
      <c r="D754">
        <f>IF(Crowdfunding!G754="failed",Crowdfunding!H754,0)</f>
        <v>0</v>
      </c>
    </row>
    <row r="755" spans="1:4" x14ac:dyDescent="0.25">
      <c r="A755" t="str">
        <f>IF(Crowdfunding!G755="successful","successful","")</f>
        <v>successful</v>
      </c>
      <c r="B755">
        <f>IF(Crowdfunding!G755="successful",Crowdfunding!H755,0)</f>
        <v>137</v>
      </c>
      <c r="C755" t="str">
        <f>IF(Crowdfunding!G755="failed","failed","")</f>
        <v/>
      </c>
      <c r="D755">
        <f>IF(Crowdfunding!G755="failed",Crowdfunding!H755,0)</f>
        <v>0</v>
      </c>
    </row>
    <row r="756" spans="1:4" x14ac:dyDescent="0.25">
      <c r="A756" t="str">
        <f>IF(Crowdfunding!G756="successful","successful","")</f>
        <v>successful</v>
      </c>
      <c r="B756">
        <f>IF(Crowdfunding!G756="successful",Crowdfunding!H756,0)</f>
        <v>3205</v>
      </c>
      <c r="C756" t="str">
        <f>IF(Crowdfunding!G756="failed","failed","")</f>
        <v/>
      </c>
      <c r="D756">
        <f>IF(Crowdfunding!G756="failed",Crowdfunding!H756,0)</f>
        <v>0</v>
      </c>
    </row>
    <row r="757" spans="1:4" x14ac:dyDescent="0.25">
      <c r="A757" t="str">
        <f>IF(Crowdfunding!G757="successful","successful","")</f>
        <v>successful</v>
      </c>
      <c r="B757">
        <f>IF(Crowdfunding!G757="successful",Crowdfunding!H757,0)</f>
        <v>288</v>
      </c>
      <c r="C757" t="str">
        <f>IF(Crowdfunding!G757="failed","failed","")</f>
        <v/>
      </c>
      <c r="D757">
        <f>IF(Crowdfunding!G757="failed",Crowdfunding!H757,0)</f>
        <v>0</v>
      </c>
    </row>
    <row r="758" spans="1:4" x14ac:dyDescent="0.25">
      <c r="A758" t="str">
        <f>IF(Crowdfunding!G758="successful","successful","")</f>
        <v>successful</v>
      </c>
      <c r="B758">
        <f>IF(Crowdfunding!G758="successful",Crowdfunding!H758,0)</f>
        <v>148</v>
      </c>
      <c r="C758" t="str">
        <f>IF(Crowdfunding!G758="failed","failed","")</f>
        <v/>
      </c>
      <c r="D758">
        <f>IF(Crowdfunding!G758="failed",Crowdfunding!H758,0)</f>
        <v>0</v>
      </c>
    </row>
    <row r="759" spans="1:4" x14ac:dyDescent="0.25">
      <c r="A759" t="str">
        <f>IF(Crowdfunding!G759="successful","successful","")</f>
        <v>successful</v>
      </c>
      <c r="B759">
        <f>IF(Crowdfunding!G759="successful",Crowdfunding!H759,0)</f>
        <v>114</v>
      </c>
      <c r="C759" t="str">
        <f>IF(Crowdfunding!G759="failed","failed","")</f>
        <v/>
      </c>
      <c r="D759">
        <f>IF(Crowdfunding!G759="failed",Crowdfunding!H759,0)</f>
        <v>0</v>
      </c>
    </row>
    <row r="760" spans="1:4" x14ac:dyDescent="0.25">
      <c r="A760" t="str">
        <f>IF(Crowdfunding!G760="successful","successful","")</f>
        <v>successful</v>
      </c>
      <c r="B760">
        <f>IF(Crowdfunding!G760="successful",Crowdfunding!H760,0)</f>
        <v>1518</v>
      </c>
      <c r="C760" t="str">
        <f>IF(Crowdfunding!G760="failed","failed","")</f>
        <v/>
      </c>
      <c r="D760">
        <f>IF(Crowdfunding!G760="failed",Crowdfunding!H760,0)</f>
        <v>0</v>
      </c>
    </row>
    <row r="761" spans="1:4" x14ac:dyDescent="0.25">
      <c r="A761" t="str">
        <f>IF(Crowdfunding!G761="successful","successful","")</f>
        <v/>
      </c>
      <c r="B761">
        <f>IF(Crowdfunding!G761="successful",Crowdfunding!H761,0)</f>
        <v>0</v>
      </c>
      <c r="C761" t="str">
        <f>IF(Crowdfunding!G761="failed","failed","")</f>
        <v>failed</v>
      </c>
      <c r="D761">
        <f>IF(Crowdfunding!G761="failed",Crowdfunding!H761,0)</f>
        <v>1274</v>
      </c>
    </row>
    <row r="762" spans="1:4" x14ac:dyDescent="0.25">
      <c r="A762" t="str">
        <f>IF(Crowdfunding!G762="successful","successful","")</f>
        <v/>
      </c>
      <c r="B762">
        <f>IF(Crowdfunding!G762="successful",Crowdfunding!H762,0)</f>
        <v>0</v>
      </c>
      <c r="C762" t="str">
        <f>IF(Crowdfunding!G762="failed","failed","")</f>
        <v>failed</v>
      </c>
      <c r="D762">
        <f>IF(Crowdfunding!G762="failed",Crowdfunding!H762,0)</f>
        <v>210</v>
      </c>
    </row>
    <row r="763" spans="1:4" x14ac:dyDescent="0.25">
      <c r="A763" t="str">
        <f>IF(Crowdfunding!G763="successful","successful","")</f>
        <v>successful</v>
      </c>
      <c r="B763">
        <f>IF(Crowdfunding!G763="successful",Crowdfunding!H763,0)</f>
        <v>166</v>
      </c>
      <c r="C763" t="str">
        <f>IF(Crowdfunding!G763="failed","failed","")</f>
        <v/>
      </c>
      <c r="D763">
        <f>IF(Crowdfunding!G763="failed",Crowdfunding!H763,0)</f>
        <v>0</v>
      </c>
    </row>
    <row r="764" spans="1:4" x14ac:dyDescent="0.25">
      <c r="A764" t="str">
        <f>IF(Crowdfunding!G764="successful","successful","")</f>
        <v>successful</v>
      </c>
      <c r="B764">
        <f>IF(Crowdfunding!G764="successful",Crowdfunding!H764,0)</f>
        <v>100</v>
      </c>
      <c r="C764" t="str">
        <f>IF(Crowdfunding!G764="failed","failed","")</f>
        <v/>
      </c>
      <c r="D764">
        <f>IF(Crowdfunding!G764="failed",Crowdfunding!H764,0)</f>
        <v>0</v>
      </c>
    </row>
    <row r="765" spans="1:4" x14ac:dyDescent="0.25">
      <c r="A765" t="str">
        <f>IF(Crowdfunding!G765="successful","successful","")</f>
        <v>successful</v>
      </c>
      <c r="B765">
        <f>IF(Crowdfunding!G765="successful",Crowdfunding!H765,0)</f>
        <v>235</v>
      </c>
      <c r="C765" t="str">
        <f>IF(Crowdfunding!G765="failed","failed","")</f>
        <v/>
      </c>
      <c r="D765">
        <f>IF(Crowdfunding!G765="failed",Crowdfunding!H765,0)</f>
        <v>0</v>
      </c>
    </row>
    <row r="766" spans="1:4" x14ac:dyDescent="0.25">
      <c r="A766" t="str">
        <f>IF(Crowdfunding!G766="successful","successful","")</f>
        <v>successful</v>
      </c>
      <c r="B766">
        <f>IF(Crowdfunding!G766="successful",Crowdfunding!H766,0)</f>
        <v>148</v>
      </c>
      <c r="C766" t="str">
        <f>IF(Crowdfunding!G766="failed","failed","")</f>
        <v/>
      </c>
      <c r="D766">
        <f>IF(Crowdfunding!G766="failed",Crowdfunding!H766,0)</f>
        <v>0</v>
      </c>
    </row>
    <row r="767" spans="1:4" x14ac:dyDescent="0.25">
      <c r="A767" t="str">
        <f>IF(Crowdfunding!G767="successful","successful","")</f>
        <v>successful</v>
      </c>
      <c r="B767">
        <f>IF(Crowdfunding!G767="successful",Crowdfunding!H767,0)</f>
        <v>198</v>
      </c>
      <c r="C767" t="str">
        <f>IF(Crowdfunding!G767="failed","failed","")</f>
        <v/>
      </c>
      <c r="D767">
        <f>IF(Crowdfunding!G767="failed",Crowdfunding!H767,0)</f>
        <v>0</v>
      </c>
    </row>
    <row r="768" spans="1:4" x14ac:dyDescent="0.25">
      <c r="A768" t="str">
        <f>IF(Crowdfunding!G768="successful","successful","")</f>
        <v/>
      </c>
      <c r="B768">
        <f>IF(Crowdfunding!G768="successful",Crowdfunding!H768,0)</f>
        <v>0</v>
      </c>
      <c r="C768" t="str">
        <f>IF(Crowdfunding!G768="failed","failed","")</f>
        <v>failed</v>
      </c>
      <c r="D768">
        <f>IF(Crowdfunding!G768="failed",Crowdfunding!H768,0)</f>
        <v>248</v>
      </c>
    </row>
    <row r="769" spans="1:4" x14ac:dyDescent="0.25">
      <c r="A769" t="str">
        <f>IF(Crowdfunding!G769="successful","successful","")</f>
        <v/>
      </c>
      <c r="B769">
        <f>IF(Crowdfunding!G769="successful",Crowdfunding!H769,0)</f>
        <v>0</v>
      </c>
      <c r="C769" t="str">
        <f>IF(Crowdfunding!G769="failed","failed","")</f>
        <v>failed</v>
      </c>
      <c r="D769">
        <f>IF(Crowdfunding!G769="failed",Crowdfunding!H769,0)</f>
        <v>513</v>
      </c>
    </row>
    <row r="770" spans="1:4" x14ac:dyDescent="0.25">
      <c r="A770" t="str">
        <f>IF(Crowdfunding!G770="successful","successful","")</f>
        <v>successful</v>
      </c>
      <c r="B770">
        <f>IF(Crowdfunding!G770="successful",Crowdfunding!H770,0)</f>
        <v>150</v>
      </c>
      <c r="C770" t="str">
        <f>IF(Crowdfunding!G770="failed","failed","")</f>
        <v/>
      </c>
      <c r="D770">
        <f>IF(Crowdfunding!G770="failed",Crowdfunding!H770,0)</f>
        <v>0</v>
      </c>
    </row>
    <row r="771" spans="1:4" x14ac:dyDescent="0.25">
      <c r="A771" t="str">
        <f>IF(Crowdfunding!G771="successful","successful","")</f>
        <v/>
      </c>
      <c r="B771">
        <f>IF(Crowdfunding!G771="successful",Crowdfunding!H771,0)</f>
        <v>0</v>
      </c>
      <c r="C771" t="str">
        <f>IF(Crowdfunding!G771="failed","failed","")</f>
        <v>failed</v>
      </c>
      <c r="D771">
        <f>IF(Crowdfunding!G771="failed",Crowdfunding!H771,0)</f>
        <v>3410</v>
      </c>
    </row>
    <row r="772" spans="1:4" x14ac:dyDescent="0.25">
      <c r="A772" t="str">
        <f>IF(Crowdfunding!G772="successful","successful","")</f>
        <v>successful</v>
      </c>
      <c r="B772">
        <f>IF(Crowdfunding!G772="successful",Crowdfunding!H772,0)</f>
        <v>216</v>
      </c>
      <c r="C772" t="str">
        <f>IF(Crowdfunding!G772="failed","failed","")</f>
        <v/>
      </c>
      <c r="D772">
        <f>IF(Crowdfunding!G772="failed",Crowdfunding!H772,0)</f>
        <v>0</v>
      </c>
    </row>
    <row r="773" spans="1:4" x14ac:dyDescent="0.25">
      <c r="A773" t="str">
        <f>IF(Crowdfunding!G773="successful","successful","")</f>
        <v/>
      </c>
      <c r="B773">
        <f>IF(Crowdfunding!G773="successful",Crowdfunding!H773,0)</f>
        <v>0</v>
      </c>
      <c r="C773" t="str">
        <f>IF(Crowdfunding!G773="failed","failed","")</f>
        <v/>
      </c>
      <c r="D773">
        <f>IF(Crowdfunding!G773="failed",Crowdfunding!H773,0)</f>
        <v>0</v>
      </c>
    </row>
    <row r="774" spans="1:4" x14ac:dyDescent="0.25">
      <c r="A774" t="str">
        <f>IF(Crowdfunding!G774="successful","successful","")</f>
        <v>successful</v>
      </c>
      <c r="B774">
        <f>IF(Crowdfunding!G774="successful",Crowdfunding!H774,0)</f>
        <v>5139</v>
      </c>
      <c r="C774" t="str">
        <f>IF(Crowdfunding!G774="failed","failed","")</f>
        <v/>
      </c>
      <c r="D774">
        <f>IF(Crowdfunding!G774="failed",Crowdfunding!H774,0)</f>
        <v>0</v>
      </c>
    </row>
    <row r="775" spans="1:4" x14ac:dyDescent="0.25">
      <c r="A775" t="str">
        <f>IF(Crowdfunding!G775="successful","successful","")</f>
        <v>successful</v>
      </c>
      <c r="B775">
        <f>IF(Crowdfunding!G775="successful",Crowdfunding!H775,0)</f>
        <v>2353</v>
      </c>
      <c r="C775" t="str">
        <f>IF(Crowdfunding!G775="failed","failed","")</f>
        <v/>
      </c>
      <c r="D775">
        <f>IF(Crowdfunding!G775="failed",Crowdfunding!H775,0)</f>
        <v>0</v>
      </c>
    </row>
    <row r="776" spans="1:4" x14ac:dyDescent="0.25">
      <c r="A776" t="str">
        <f>IF(Crowdfunding!G776="successful","successful","")</f>
        <v>successful</v>
      </c>
      <c r="B776">
        <f>IF(Crowdfunding!G776="successful",Crowdfunding!H776,0)</f>
        <v>78</v>
      </c>
      <c r="C776" t="str">
        <f>IF(Crowdfunding!G776="failed","failed","")</f>
        <v/>
      </c>
      <c r="D776">
        <f>IF(Crowdfunding!G776="failed",Crowdfunding!H776,0)</f>
        <v>0</v>
      </c>
    </row>
    <row r="777" spans="1:4" x14ac:dyDescent="0.25">
      <c r="A777" t="str">
        <f>IF(Crowdfunding!G777="successful","successful","")</f>
        <v/>
      </c>
      <c r="B777">
        <f>IF(Crowdfunding!G777="successful",Crowdfunding!H777,0)</f>
        <v>0</v>
      </c>
      <c r="C777" t="str">
        <f>IF(Crowdfunding!G777="failed","failed","")</f>
        <v>failed</v>
      </c>
      <c r="D777">
        <f>IF(Crowdfunding!G777="failed",Crowdfunding!H777,0)</f>
        <v>10</v>
      </c>
    </row>
    <row r="778" spans="1:4" x14ac:dyDescent="0.25">
      <c r="A778" t="str">
        <f>IF(Crowdfunding!G778="successful","successful","")</f>
        <v/>
      </c>
      <c r="B778">
        <f>IF(Crowdfunding!G778="successful",Crowdfunding!H778,0)</f>
        <v>0</v>
      </c>
      <c r="C778" t="str">
        <f>IF(Crowdfunding!G778="failed","failed","")</f>
        <v>failed</v>
      </c>
      <c r="D778">
        <f>IF(Crowdfunding!G778="failed",Crowdfunding!H778,0)</f>
        <v>2201</v>
      </c>
    </row>
    <row r="779" spans="1:4" x14ac:dyDescent="0.25">
      <c r="A779" t="str">
        <f>IF(Crowdfunding!G779="successful","successful","")</f>
        <v/>
      </c>
      <c r="B779">
        <f>IF(Crowdfunding!G779="successful",Crowdfunding!H779,0)</f>
        <v>0</v>
      </c>
      <c r="C779" t="str">
        <f>IF(Crowdfunding!G779="failed","failed","")</f>
        <v>failed</v>
      </c>
      <c r="D779">
        <f>IF(Crowdfunding!G779="failed",Crowdfunding!H779,0)</f>
        <v>676</v>
      </c>
    </row>
    <row r="780" spans="1:4" x14ac:dyDescent="0.25">
      <c r="A780" t="str">
        <f>IF(Crowdfunding!G780="successful","successful","")</f>
        <v>successful</v>
      </c>
      <c r="B780">
        <f>IF(Crowdfunding!G780="successful",Crowdfunding!H780,0)</f>
        <v>174</v>
      </c>
      <c r="C780" t="str">
        <f>IF(Crowdfunding!G780="failed","failed","")</f>
        <v/>
      </c>
      <c r="D780">
        <f>IF(Crowdfunding!G780="failed",Crowdfunding!H780,0)</f>
        <v>0</v>
      </c>
    </row>
    <row r="781" spans="1:4" x14ac:dyDescent="0.25">
      <c r="A781" t="str">
        <f>IF(Crowdfunding!G781="successful","successful","")</f>
        <v/>
      </c>
      <c r="B781">
        <f>IF(Crowdfunding!G781="successful",Crowdfunding!H781,0)</f>
        <v>0</v>
      </c>
      <c r="C781" t="str">
        <f>IF(Crowdfunding!G781="failed","failed","")</f>
        <v>failed</v>
      </c>
      <c r="D781">
        <f>IF(Crowdfunding!G781="failed",Crowdfunding!H781,0)</f>
        <v>831</v>
      </c>
    </row>
    <row r="782" spans="1:4" x14ac:dyDescent="0.25">
      <c r="A782" t="str">
        <f>IF(Crowdfunding!G782="successful","successful","")</f>
        <v>successful</v>
      </c>
      <c r="B782">
        <f>IF(Crowdfunding!G782="successful",Crowdfunding!H782,0)</f>
        <v>164</v>
      </c>
      <c r="C782" t="str">
        <f>IF(Crowdfunding!G782="failed","failed","")</f>
        <v/>
      </c>
      <c r="D782">
        <f>IF(Crowdfunding!G782="failed",Crowdfunding!H782,0)</f>
        <v>0</v>
      </c>
    </row>
    <row r="783" spans="1:4" x14ac:dyDescent="0.25">
      <c r="A783" t="str">
        <f>IF(Crowdfunding!G783="successful","successful","")</f>
        <v/>
      </c>
      <c r="B783">
        <f>IF(Crowdfunding!G783="successful",Crowdfunding!H783,0)</f>
        <v>0</v>
      </c>
      <c r="C783" t="str">
        <f>IF(Crowdfunding!G783="failed","failed","")</f>
        <v/>
      </c>
      <c r="D783">
        <f>IF(Crowdfunding!G783="failed",Crowdfunding!H783,0)</f>
        <v>0</v>
      </c>
    </row>
    <row r="784" spans="1:4" x14ac:dyDescent="0.25">
      <c r="A784" t="str">
        <f>IF(Crowdfunding!G784="successful","successful","")</f>
        <v>successful</v>
      </c>
      <c r="B784">
        <f>IF(Crowdfunding!G784="successful",Crowdfunding!H784,0)</f>
        <v>161</v>
      </c>
      <c r="C784" t="str">
        <f>IF(Crowdfunding!G784="failed","failed","")</f>
        <v/>
      </c>
      <c r="D784">
        <f>IF(Crowdfunding!G784="failed",Crowdfunding!H784,0)</f>
        <v>0</v>
      </c>
    </row>
    <row r="785" spans="1:4" x14ac:dyDescent="0.25">
      <c r="A785" t="str">
        <f>IF(Crowdfunding!G785="successful","successful","")</f>
        <v>successful</v>
      </c>
      <c r="B785">
        <f>IF(Crowdfunding!G785="successful",Crowdfunding!H785,0)</f>
        <v>138</v>
      </c>
      <c r="C785" t="str">
        <f>IF(Crowdfunding!G785="failed","failed","")</f>
        <v/>
      </c>
      <c r="D785">
        <f>IF(Crowdfunding!G785="failed",Crowdfunding!H785,0)</f>
        <v>0</v>
      </c>
    </row>
    <row r="786" spans="1:4" x14ac:dyDescent="0.25">
      <c r="A786" t="str">
        <f>IF(Crowdfunding!G786="successful","successful","")</f>
        <v>successful</v>
      </c>
      <c r="B786">
        <f>IF(Crowdfunding!G786="successful",Crowdfunding!H786,0)</f>
        <v>3308</v>
      </c>
      <c r="C786" t="str">
        <f>IF(Crowdfunding!G786="failed","failed","")</f>
        <v/>
      </c>
      <c r="D786">
        <f>IF(Crowdfunding!G786="failed",Crowdfunding!H786,0)</f>
        <v>0</v>
      </c>
    </row>
    <row r="787" spans="1:4" x14ac:dyDescent="0.25">
      <c r="A787" t="str">
        <f>IF(Crowdfunding!G787="successful","successful","")</f>
        <v>successful</v>
      </c>
      <c r="B787">
        <f>IF(Crowdfunding!G787="successful",Crowdfunding!H787,0)</f>
        <v>127</v>
      </c>
      <c r="C787" t="str">
        <f>IF(Crowdfunding!G787="failed","failed","")</f>
        <v/>
      </c>
      <c r="D787">
        <f>IF(Crowdfunding!G787="failed",Crowdfunding!H787,0)</f>
        <v>0</v>
      </c>
    </row>
    <row r="788" spans="1:4" x14ac:dyDescent="0.25">
      <c r="A788" t="str">
        <f>IF(Crowdfunding!G788="successful","successful","")</f>
        <v>successful</v>
      </c>
      <c r="B788">
        <f>IF(Crowdfunding!G788="successful",Crowdfunding!H788,0)</f>
        <v>207</v>
      </c>
      <c r="C788" t="str">
        <f>IF(Crowdfunding!G788="failed","failed","")</f>
        <v/>
      </c>
      <c r="D788">
        <f>IF(Crowdfunding!G788="failed",Crowdfunding!H788,0)</f>
        <v>0</v>
      </c>
    </row>
    <row r="789" spans="1:4" x14ac:dyDescent="0.25">
      <c r="A789" t="str">
        <f>IF(Crowdfunding!G789="successful","successful","")</f>
        <v/>
      </c>
      <c r="B789">
        <f>IF(Crowdfunding!G789="successful",Crowdfunding!H789,0)</f>
        <v>0</v>
      </c>
      <c r="C789" t="str">
        <f>IF(Crowdfunding!G789="failed","failed","")</f>
        <v>failed</v>
      </c>
      <c r="D789">
        <f>IF(Crowdfunding!G789="failed",Crowdfunding!H789,0)</f>
        <v>859</v>
      </c>
    </row>
    <row r="790" spans="1:4" x14ac:dyDescent="0.25">
      <c r="A790" t="str">
        <f>IF(Crowdfunding!G790="successful","successful","")</f>
        <v/>
      </c>
      <c r="B790">
        <f>IF(Crowdfunding!G790="successful",Crowdfunding!H790,0)</f>
        <v>0</v>
      </c>
      <c r="C790" t="str">
        <f>IF(Crowdfunding!G790="failed","failed","")</f>
        <v/>
      </c>
      <c r="D790">
        <f>IF(Crowdfunding!G790="failed",Crowdfunding!H790,0)</f>
        <v>0</v>
      </c>
    </row>
    <row r="791" spans="1:4" x14ac:dyDescent="0.25">
      <c r="A791" t="str">
        <f>IF(Crowdfunding!G791="successful","successful","")</f>
        <v/>
      </c>
      <c r="B791">
        <f>IF(Crowdfunding!G791="successful",Crowdfunding!H791,0)</f>
        <v>0</v>
      </c>
      <c r="C791" t="str">
        <f>IF(Crowdfunding!G791="failed","failed","")</f>
        <v>failed</v>
      </c>
      <c r="D791">
        <f>IF(Crowdfunding!G791="failed",Crowdfunding!H791,0)</f>
        <v>45</v>
      </c>
    </row>
    <row r="792" spans="1:4" x14ac:dyDescent="0.25">
      <c r="A792" t="str">
        <f>IF(Crowdfunding!G792="successful","successful","")</f>
        <v/>
      </c>
      <c r="B792">
        <f>IF(Crowdfunding!G792="successful",Crowdfunding!H792,0)</f>
        <v>0</v>
      </c>
      <c r="C792" t="str">
        <f>IF(Crowdfunding!G792="failed","failed","")</f>
        <v/>
      </c>
      <c r="D792">
        <f>IF(Crowdfunding!G792="failed",Crowdfunding!H792,0)</f>
        <v>0</v>
      </c>
    </row>
    <row r="793" spans="1:4" x14ac:dyDescent="0.25">
      <c r="A793" t="str">
        <f>IF(Crowdfunding!G793="successful","successful","")</f>
        <v/>
      </c>
      <c r="B793">
        <f>IF(Crowdfunding!G793="successful",Crowdfunding!H793,0)</f>
        <v>0</v>
      </c>
      <c r="C793" t="str">
        <f>IF(Crowdfunding!G793="failed","failed","")</f>
        <v>failed</v>
      </c>
      <c r="D793">
        <f>IF(Crowdfunding!G793="failed",Crowdfunding!H793,0)</f>
        <v>6</v>
      </c>
    </row>
    <row r="794" spans="1:4" x14ac:dyDescent="0.25">
      <c r="A794" t="str">
        <f>IF(Crowdfunding!G794="successful","successful","")</f>
        <v/>
      </c>
      <c r="B794">
        <f>IF(Crowdfunding!G794="successful",Crowdfunding!H794,0)</f>
        <v>0</v>
      </c>
      <c r="C794" t="str">
        <f>IF(Crowdfunding!G794="failed","failed","")</f>
        <v>failed</v>
      </c>
      <c r="D794">
        <f>IF(Crowdfunding!G794="failed",Crowdfunding!H794,0)</f>
        <v>7</v>
      </c>
    </row>
    <row r="795" spans="1:4" x14ac:dyDescent="0.25">
      <c r="A795" t="str">
        <f>IF(Crowdfunding!G795="successful","successful","")</f>
        <v>successful</v>
      </c>
      <c r="B795">
        <f>IF(Crowdfunding!G795="successful",Crowdfunding!H795,0)</f>
        <v>181</v>
      </c>
      <c r="C795" t="str">
        <f>IF(Crowdfunding!G795="failed","failed","")</f>
        <v/>
      </c>
      <c r="D795">
        <f>IF(Crowdfunding!G795="failed",Crowdfunding!H795,0)</f>
        <v>0</v>
      </c>
    </row>
    <row r="796" spans="1:4" x14ac:dyDescent="0.25">
      <c r="A796" t="str">
        <f>IF(Crowdfunding!G796="successful","successful","")</f>
        <v>successful</v>
      </c>
      <c r="B796">
        <f>IF(Crowdfunding!G796="successful",Crowdfunding!H796,0)</f>
        <v>110</v>
      </c>
      <c r="C796" t="str">
        <f>IF(Crowdfunding!G796="failed","failed","")</f>
        <v/>
      </c>
      <c r="D796">
        <f>IF(Crowdfunding!G796="failed",Crowdfunding!H796,0)</f>
        <v>0</v>
      </c>
    </row>
    <row r="797" spans="1:4" x14ac:dyDescent="0.25">
      <c r="A797" t="str">
        <f>IF(Crowdfunding!G797="successful","successful","")</f>
        <v/>
      </c>
      <c r="B797">
        <f>IF(Crowdfunding!G797="successful",Crowdfunding!H797,0)</f>
        <v>0</v>
      </c>
      <c r="C797" t="str">
        <f>IF(Crowdfunding!G797="failed","failed","")</f>
        <v>failed</v>
      </c>
      <c r="D797">
        <f>IF(Crowdfunding!G797="failed",Crowdfunding!H797,0)</f>
        <v>31</v>
      </c>
    </row>
    <row r="798" spans="1:4" x14ac:dyDescent="0.25">
      <c r="A798" t="str">
        <f>IF(Crowdfunding!G798="successful","successful","")</f>
        <v/>
      </c>
      <c r="B798">
        <f>IF(Crowdfunding!G798="successful",Crowdfunding!H798,0)</f>
        <v>0</v>
      </c>
      <c r="C798" t="str">
        <f>IF(Crowdfunding!G798="failed","failed","")</f>
        <v>failed</v>
      </c>
      <c r="D798">
        <f>IF(Crowdfunding!G798="failed",Crowdfunding!H798,0)</f>
        <v>78</v>
      </c>
    </row>
    <row r="799" spans="1:4" x14ac:dyDescent="0.25">
      <c r="A799" t="str">
        <f>IF(Crowdfunding!G799="successful","successful","")</f>
        <v>successful</v>
      </c>
      <c r="B799">
        <f>IF(Crowdfunding!G799="successful",Crowdfunding!H799,0)</f>
        <v>185</v>
      </c>
      <c r="C799" t="str">
        <f>IF(Crowdfunding!G799="failed","failed","")</f>
        <v/>
      </c>
      <c r="D799">
        <f>IF(Crowdfunding!G799="failed",Crowdfunding!H799,0)</f>
        <v>0</v>
      </c>
    </row>
    <row r="800" spans="1:4" x14ac:dyDescent="0.25">
      <c r="A800" t="str">
        <f>IF(Crowdfunding!G800="successful","successful","")</f>
        <v>successful</v>
      </c>
      <c r="B800">
        <f>IF(Crowdfunding!G800="successful",Crowdfunding!H800,0)</f>
        <v>121</v>
      </c>
      <c r="C800" t="str">
        <f>IF(Crowdfunding!G800="failed","failed","")</f>
        <v/>
      </c>
      <c r="D800">
        <f>IF(Crowdfunding!G800="failed",Crowdfunding!H800,0)</f>
        <v>0</v>
      </c>
    </row>
    <row r="801" spans="1:4" x14ac:dyDescent="0.25">
      <c r="A801" t="str">
        <f>IF(Crowdfunding!G801="successful","successful","")</f>
        <v/>
      </c>
      <c r="B801">
        <f>IF(Crowdfunding!G801="successful",Crowdfunding!H801,0)</f>
        <v>0</v>
      </c>
      <c r="C801" t="str">
        <f>IF(Crowdfunding!G801="failed","failed","")</f>
        <v>failed</v>
      </c>
      <c r="D801">
        <f>IF(Crowdfunding!G801="failed",Crowdfunding!H801,0)</f>
        <v>1225</v>
      </c>
    </row>
    <row r="802" spans="1:4" x14ac:dyDescent="0.25">
      <c r="A802" t="str">
        <f>IF(Crowdfunding!G802="successful","successful","")</f>
        <v/>
      </c>
      <c r="B802">
        <f>IF(Crowdfunding!G802="successful",Crowdfunding!H802,0)</f>
        <v>0</v>
      </c>
      <c r="C802" t="str">
        <f>IF(Crowdfunding!G802="failed","failed","")</f>
        <v>failed</v>
      </c>
      <c r="D802">
        <f>IF(Crowdfunding!G802="failed",Crowdfunding!H802,0)</f>
        <v>1</v>
      </c>
    </row>
    <row r="803" spans="1:4" x14ac:dyDescent="0.25">
      <c r="A803" t="str">
        <f>IF(Crowdfunding!G803="successful","successful","")</f>
        <v>successful</v>
      </c>
      <c r="B803">
        <f>IF(Crowdfunding!G803="successful",Crowdfunding!H803,0)</f>
        <v>106</v>
      </c>
      <c r="C803" t="str">
        <f>IF(Crowdfunding!G803="failed","failed","")</f>
        <v/>
      </c>
      <c r="D803">
        <f>IF(Crowdfunding!G803="failed",Crowdfunding!H803,0)</f>
        <v>0</v>
      </c>
    </row>
    <row r="804" spans="1:4" x14ac:dyDescent="0.25">
      <c r="A804" t="str">
        <f>IF(Crowdfunding!G804="successful","successful","")</f>
        <v>successful</v>
      </c>
      <c r="B804">
        <f>IF(Crowdfunding!G804="successful",Crowdfunding!H804,0)</f>
        <v>142</v>
      </c>
      <c r="C804" t="str">
        <f>IF(Crowdfunding!G804="failed","failed","")</f>
        <v/>
      </c>
      <c r="D804">
        <f>IF(Crowdfunding!G804="failed",Crowdfunding!H804,0)</f>
        <v>0</v>
      </c>
    </row>
    <row r="805" spans="1:4" x14ac:dyDescent="0.25">
      <c r="A805" t="str">
        <f>IF(Crowdfunding!G805="successful","successful","")</f>
        <v>successful</v>
      </c>
      <c r="B805">
        <f>IF(Crowdfunding!G805="successful",Crowdfunding!H805,0)</f>
        <v>233</v>
      </c>
      <c r="C805" t="str">
        <f>IF(Crowdfunding!G805="failed","failed","")</f>
        <v/>
      </c>
      <c r="D805">
        <f>IF(Crowdfunding!G805="failed",Crowdfunding!H805,0)</f>
        <v>0</v>
      </c>
    </row>
    <row r="806" spans="1:4" x14ac:dyDescent="0.25">
      <c r="A806" t="str">
        <f>IF(Crowdfunding!G806="successful","successful","")</f>
        <v>successful</v>
      </c>
      <c r="B806">
        <f>IF(Crowdfunding!G806="successful",Crowdfunding!H806,0)</f>
        <v>218</v>
      </c>
      <c r="C806" t="str">
        <f>IF(Crowdfunding!G806="failed","failed","")</f>
        <v/>
      </c>
      <c r="D806">
        <f>IF(Crowdfunding!G806="failed",Crowdfunding!H806,0)</f>
        <v>0</v>
      </c>
    </row>
    <row r="807" spans="1:4" x14ac:dyDescent="0.25">
      <c r="A807" t="str">
        <f>IF(Crowdfunding!G807="successful","successful","")</f>
        <v/>
      </c>
      <c r="B807">
        <f>IF(Crowdfunding!G807="successful",Crowdfunding!H807,0)</f>
        <v>0</v>
      </c>
      <c r="C807" t="str">
        <f>IF(Crowdfunding!G807="failed","failed","")</f>
        <v>failed</v>
      </c>
      <c r="D807">
        <f>IF(Crowdfunding!G807="failed",Crowdfunding!H807,0)</f>
        <v>67</v>
      </c>
    </row>
    <row r="808" spans="1:4" x14ac:dyDescent="0.25">
      <c r="A808" t="str">
        <f>IF(Crowdfunding!G808="successful","successful","")</f>
        <v>successful</v>
      </c>
      <c r="B808">
        <f>IF(Crowdfunding!G808="successful",Crowdfunding!H808,0)</f>
        <v>76</v>
      </c>
      <c r="C808" t="str">
        <f>IF(Crowdfunding!G808="failed","failed","")</f>
        <v/>
      </c>
      <c r="D808">
        <f>IF(Crowdfunding!G808="failed",Crowdfunding!H808,0)</f>
        <v>0</v>
      </c>
    </row>
    <row r="809" spans="1:4" x14ac:dyDescent="0.25">
      <c r="A809" t="str">
        <f>IF(Crowdfunding!G809="successful","successful","")</f>
        <v>successful</v>
      </c>
      <c r="B809">
        <f>IF(Crowdfunding!G809="successful",Crowdfunding!H809,0)</f>
        <v>43</v>
      </c>
      <c r="C809" t="str">
        <f>IF(Crowdfunding!G809="failed","failed","")</f>
        <v/>
      </c>
      <c r="D809">
        <f>IF(Crowdfunding!G809="failed",Crowdfunding!H809,0)</f>
        <v>0</v>
      </c>
    </row>
    <row r="810" spans="1:4" x14ac:dyDescent="0.25">
      <c r="A810" t="str">
        <f>IF(Crowdfunding!G810="successful","successful","")</f>
        <v/>
      </c>
      <c r="B810">
        <f>IF(Crowdfunding!G810="successful",Crowdfunding!H810,0)</f>
        <v>0</v>
      </c>
      <c r="C810" t="str">
        <f>IF(Crowdfunding!G810="failed","failed","")</f>
        <v>failed</v>
      </c>
      <c r="D810">
        <f>IF(Crowdfunding!G810="failed",Crowdfunding!H810,0)</f>
        <v>19</v>
      </c>
    </row>
    <row r="811" spans="1:4" x14ac:dyDescent="0.25">
      <c r="A811" t="str">
        <f>IF(Crowdfunding!G811="successful","successful","")</f>
        <v/>
      </c>
      <c r="B811">
        <f>IF(Crowdfunding!G811="successful",Crowdfunding!H811,0)</f>
        <v>0</v>
      </c>
      <c r="C811" t="str">
        <f>IF(Crowdfunding!G811="failed","failed","")</f>
        <v>failed</v>
      </c>
      <c r="D811">
        <f>IF(Crowdfunding!G811="failed",Crowdfunding!H811,0)</f>
        <v>2108</v>
      </c>
    </row>
    <row r="812" spans="1:4" x14ac:dyDescent="0.25">
      <c r="A812" t="str">
        <f>IF(Crowdfunding!G812="successful","successful","")</f>
        <v>successful</v>
      </c>
      <c r="B812">
        <f>IF(Crowdfunding!G812="successful",Crowdfunding!H812,0)</f>
        <v>221</v>
      </c>
      <c r="C812" t="str">
        <f>IF(Crowdfunding!G812="failed","failed","")</f>
        <v/>
      </c>
      <c r="D812">
        <f>IF(Crowdfunding!G812="failed",Crowdfunding!H812,0)</f>
        <v>0</v>
      </c>
    </row>
    <row r="813" spans="1:4" x14ac:dyDescent="0.25">
      <c r="A813" t="str">
        <f>IF(Crowdfunding!G813="successful","successful","")</f>
        <v/>
      </c>
      <c r="B813">
        <f>IF(Crowdfunding!G813="successful",Crowdfunding!H813,0)</f>
        <v>0</v>
      </c>
      <c r="C813" t="str">
        <f>IF(Crowdfunding!G813="failed","failed","")</f>
        <v>failed</v>
      </c>
      <c r="D813">
        <f>IF(Crowdfunding!G813="failed",Crowdfunding!H813,0)</f>
        <v>679</v>
      </c>
    </row>
    <row r="814" spans="1:4" x14ac:dyDescent="0.25">
      <c r="A814" t="str">
        <f>IF(Crowdfunding!G814="successful","successful","")</f>
        <v>successful</v>
      </c>
      <c r="B814">
        <f>IF(Crowdfunding!G814="successful",Crowdfunding!H814,0)</f>
        <v>2805</v>
      </c>
      <c r="C814" t="str">
        <f>IF(Crowdfunding!G814="failed","failed","")</f>
        <v/>
      </c>
      <c r="D814">
        <f>IF(Crowdfunding!G814="failed",Crowdfunding!H814,0)</f>
        <v>0</v>
      </c>
    </row>
    <row r="815" spans="1:4" x14ac:dyDescent="0.25">
      <c r="A815" t="str">
        <f>IF(Crowdfunding!G815="successful","successful","")</f>
        <v>successful</v>
      </c>
      <c r="B815">
        <f>IF(Crowdfunding!G815="successful",Crowdfunding!H815,0)</f>
        <v>68</v>
      </c>
      <c r="C815" t="str">
        <f>IF(Crowdfunding!G815="failed","failed","")</f>
        <v/>
      </c>
      <c r="D815">
        <f>IF(Crowdfunding!G815="failed",Crowdfunding!H815,0)</f>
        <v>0</v>
      </c>
    </row>
    <row r="816" spans="1:4" x14ac:dyDescent="0.25">
      <c r="A816" t="str">
        <f>IF(Crowdfunding!G816="successful","successful","")</f>
        <v/>
      </c>
      <c r="B816">
        <f>IF(Crowdfunding!G816="successful",Crowdfunding!H816,0)</f>
        <v>0</v>
      </c>
      <c r="C816" t="str">
        <f>IF(Crowdfunding!G816="failed","failed","")</f>
        <v>failed</v>
      </c>
      <c r="D816">
        <f>IF(Crowdfunding!G816="failed",Crowdfunding!H816,0)</f>
        <v>36</v>
      </c>
    </row>
    <row r="817" spans="1:4" x14ac:dyDescent="0.25">
      <c r="A817" t="str">
        <f>IF(Crowdfunding!G817="successful","successful","")</f>
        <v>successful</v>
      </c>
      <c r="B817">
        <f>IF(Crowdfunding!G817="successful",Crowdfunding!H817,0)</f>
        <v>183</v>
      </c>
      <c r="C817" t="str">
        <f>IF(Crowdfunding!G817="failed","failed","")</f>
        <v/>
      </c>
      <c r="D817">
        <f>IF(Crowdfunding!G817="failed",Crowdfunding!H817,0)</f>
        <v>0</v>
      </c>
    </row>
    <row r="818" spans="1:4" x14ac:dyDescent="0.25">
      <c r="A818" t="str">
        <f>IF(Crowdfunding!G818="successful","successful","")</f>
        <v>successful</v>
      </c>
      <c r="B818">
        <f>IF(Crowdfunding!G818="successful",Crowdfunding!H818,0)</f>
        <v>133</v>
      </c>
      <c r="C818" t="str">
        <f>IF(Crowdfunding!G818="failed","failed","")</f>
        <v/>
      </c>
      <c r="D818">
        <f>IF(Crowdfunding!G818="failed",Crowdfunding!H818,0)</f>
        <v>0</v>
      </c>
    </row>
    <row r="819" spans="1:4" x14ac:dyDescent="0.25">
      <c r="A819" t="str">
        <f>IF(Crowdfunding!G819="successful","successful","")</f>
        <v>successful</v>
      </c>
      <c r="B819">
        <f>IF(Crowdfunding!G819="successful",Crowdfunding!H819,0)</f>
        <v>2489</v>
      </c>
      <c r="C819" t="str">
        <f>IF(Crowdfunding!G819="failed","failed","")</f>
        <v/>
      </c>
      <c r="D819">
        <f>IF(Crowdfunding!G819="failed",Crowdfunding!H819,0)</f>
        <v>0</v>
      </c>
    </row>
    <row r="820" spans="1:4" x14ac:dyDescent="0.25">
      <c r="A820" t="str">
        <f>IF(Crowdfunding!G820="successful","successful","")</f>
        <v>successful</v>
      </c>
      <c r="B820">
        <f>IF(Crowdfunding!G820="successful",Crowdfunding!H820,0)</f>
        <v>69</v>
      </c>
      <c r="C820" t="str">
        <f>IF(Crowdfunding!G820="failed","failed","")</f>
        <v/>
      </c>
      <c r="D820">
        <f>IF(Crowdfunding!G820="failed",Crowdfunding!H820,0)</f>
        <v>0</v>
      </c>
    </row>
    <row r="821" spans="1:4" x14ac:dyDescent="0.25">
      <c r="A821" t="str">
        <f>IF(Crowdfunding!G821="successful","successful","")</f>
        <v/>
      </c>
      <c r="B821">
        <f>IF(Crowdfunding!G821="successful",Crowdfunding!H821,0)</f>
        <v>0</v>
      </c>
      <c r="C821" t="str">
        <f>IF(Crowdfunding!G821="failed","failed","")</f>
        <v>failed</v>
      </c>
      <c r="D821">
        <f>IF(Crowdfunding!G821="failed",Crowdfunding!H821,0)</f>
        <v>47</v>
      </c>
    </row>
    <row r="822" spans="1:4" x14ac:dyDescent="0.25">
      <c r="A822" t="str">
        <f>IF(Crowdfunding!G822="successful","successful","")</f>
        <v>successful</v>
      </c>
      <c r="B822">
        <f>IF(Crowdfunding!G822="successful",Crowdfunding!H822,0)</f>
        <v>279</v>
      </c>
      <c r="C822" t="str">
        <f>IF(Crowdfunding!G822="failed","failed","")</f>
        <v/>
      </c>
      <c r="D822">
        <f>IF(Crowdfunding!G822="failed",Crowdfunding!H822,0)</f>
        <v>0</v>
      </c>
    </row>
    <row r="823" spans="1:4" x14ac:dyDescent="0.25">
      <c r="A823" t="str">
        <f>IF(Crowdfunding!G823="successful","successful","")</f>
        <v>successful</v>
      </c>
      <c r="B823">
        <f>IF(Crowdfunding!G823="successful",Crowdfunding!H823,0)</f>
        <v>210</v>
      </c>
      <c r="C823" t="str">
        <f>IF(Crowdfunding!G823="failed","failed","")</f>
        <v/>
      </c>
      <c r="D823">
        <f>IF(Crowdfunding!G823="failed",Crowdfunding!H823,0)</f>
        <v>0</v>
      </c>
    </row>
    <row r="824" spans="1:4" x14ac:dyDescent="0.25">
      <c r="A824" t="str">
        <f>IF(Crowdfunding!G824="successful","successful","")</f>
        <v>successful</v>
      </c>
      <c r="B824">
        <f>IF(Crowdfunding!G824="successful",Crowdfunding!H824,0)</f>
        <v>2100</v>
      </c>
      <c r="C824" t="str">
        <f>IF(Crowdfunding!G824="failed","failed","")</f>
        <v/>
      </c>
      <c r="D824">
        <f>IF(Crowdfunding!G824="failed",Crowdfunding!H824,0)</f>
        <v>0</v>
      </c>
    </row>
    <row r="825" spans="1:4" x14ac:dyDescent="0.25">
      <c r="A825" t="str">
        <f>IF(Crowdfunding!G825="successful","successful","")</f>
        <v>successful</v>
      </c>
      <c r="B825">
        <f>IF(Crowdfunding!G825="successful",Crowdfunding!H825,0)</f>
        <v>252</v>
      </c>
      <c r="C825" t="str">
        <f>IF(Crowdfunding!G825="failed","failed","")</f>
        <v/>
      </c>
      <c r="D825">
        <f>IF(Crowdfunding!G825="failed",Crowdfunding!H825,0)</f>
        <v>0</v>
      </c>
    </row>
    <row r="826" spans="1:4" x14ac:dyDescent="0.25">
      <c r="A826" t="str">
        <f>IF(Crowdfunding!G826="successful","successful","")</f>
        <v>successful</v>
      </c>
      <c r="B826">
        <f>IF(Crowdfunding!G826="successful",Crowdfunding!H826,0)</f>
        <v>1280</v>
      </c>
      <c r="C826" t="str">
        <f>IF(Crowdfunding!G826="failed","failed","")</f>
        <v/>
      </c>
      <c r="D826">
        <f>IF(Crowdfunding!G826="failed",Crowdfunding!H826,0)</f>
        <v>0</v>
      </c>
    </row>
    <row r="827" spans="1:4" x14ac:dyDescent="0.25">
      <c r="A827" t="str">
        <f>IF(Crowdfunding!G827="successful","successful","")</f>
        <v>successful</v>
      </c>
      <c r="B827">
        <f>IF(Crowdfunding!G827="successful",Crowdfunding!H827,0)</f>
        <v>157</v>
      </c>
      <c r="C827" t="str">
        <f>IF(Crowdfunding!G827="failed","failed","")</f>
        <v/>
      </c>
      <c r="D827">
        <f>IF(Crowdfunding!G827="failed",Crowdfunding!H827,0)</f>
        <v>0</v>
      </c>
    </row>
    <row r="828" spans="1:4" x14ac:dyDescent="0.25">
      <c r="A828" t="str">
        <f>IF(Crowdfunding!G828="successful","successful","")</f>
        <v>successful</v>
      </c>
      <c r="B828">
        <f>IF(Crowdfunding!G828="successful",Crowdfunding!H828,0)</f>
        <v>194</v>
      </c>
      <c r="C828" t="str">
        <f>IF(Crowdfunding!G828="failed","failed","")</f>
        <v/>
      </c>
      <c r="D828">
        <f>IF(Crowdfunding!G828="failed",Crowdfunding!H828,0)</f>
        <v>0</v>
      </c>
    </row>
    <row r="829" spans="1:4" x14ac:dyDescent="0.25">
      <c r="A829" t="str">
        <f>IF(Crowdfunding!G829="successful","successful","")</f>
        <v>successful</v>
      </c>
      <c r="B829">
        <f>IF(Crowdfunding!G829="successful",Crowdfunding!H829,0)</f>
        <v>82</v>
      </c>
      <c r="C829" t="str">
        <f>IF(Crowdfunding!G829="failed","failed","")</f>
        <v/>
      </c>
      <c r="D829">
        <f>IF(Crowdfunding!G829="failed",Crowdfunding!H829,0)</f>
        <v>0</v>
      </c>
    </row>
    <row r="830" spans="1:4" x14ac:dyDescent="0.25">
      <c r="A830" t="str">
        <f>IF(Crowdfunding!G830="successful","successful","")</f>
        <v/>
      </c>
      <c r="B830">
        <f>IF(Crowdfunding!G830="successful",Crowdfunding!H830,0)</f>
        <v>0</v>
      </c>
      <c r="C830" t="str">
        <f>IF(Crowdfunding!G830="failed","failed","")</f>
        <v>failed</v>
      </c>
      <c r="D830">
        <f>IF(Crowdfunding!G830="failed",Crowdfunding!H830,0)</f>
        <v>70</v>
      </c>
    </row>
    <row r="831" spans="1:4" x14ac:dyDescent="0.25">
      <c r="A831" t="str">
        <f>IF(Crowdfunding!G831="successful","successful","")</f>
        <v/>
      </c>
      <c r="B831">
        <f>IF(Crowdfunding!G831="successful",Crowdfunding!H831,0)</f>
        <v>0</v>
      </c>
      <c r="C831" t="str">
        <f>IF(Crowdfunding!G831="failed","failed","")</f>
        <v>failed</v>
      </c>
      <c r="D831">
        <f>IF(Crowdfunding!G831="failed",Crowdfunding!H831,0)</f>
        <v>154</v>
      </c>
    </row>
    <row r="832" spans="1:4" x14ac:dyDescent="0.25">
      <c r="A832" t="str">
        <f>IF(Crowdfunding!G832="successful","successful","")</f>
        <v/>
      </c>
      <c r="B832">
        <f>IF(Crowdfunding!G832="successful",Crowdfunding!H832,0)</f>
        <v>0</v>
      </c>
      <c r="C832" t="str">
        <f>IF(Crowdfunding!G832="failed","failed","")</f>
        <v>failed</v>
      </c>
      <c r="D832">
        <f>IF(Crowdfunding!G832="failed",Crowdfunding!H832,0)</f>
        <v>22</v>
      </c>
    </row>
    <row r="833" spans="1:4" x14ac:dyDescent="0.25">
      <c r="A833" t="str">
        <f>IF(Crowdfunding!G833="successful","successful","")</f>
        <v>successful</v>
      </c>
      <c r="B833">
        <f>IF(Crowdfunding!G833="successful",Crowdfunding!H833,0)</f>
        <v>4233</v>
      </c>
      <c r="C833" t="str">
        <f>IF(Crowdfunding!G833="failed","failed","")</f>
        <v/>
      </c>
      <c r="D833">
        <f>IF(Crowdfunding!G833="failed",Crowdfunding!H833,0)</f>
        <v>0</v>
      </c>
    </row>
    <row r="834" spans="1:4" x14ac:dyDescent="0.25">
      <c r="A834" t="str">
        <f>IF(Crowdfunding!G834="successful","successful","")</f>
        <v>successful</v>
      </c>
      <c r="B834">
        <f>IF(Crowdfunding!G834="successful",Crowdfunding!H834,0)</f>
        <v>1297</v>
      </c>
      <c r="C834" t="str">
        <f>IF(Crowdfunding!G834="failed","failed","")</f>
        <v/>
      </c>
      <c r="D834">
        <f>IF(Crowdfunding!G834="failed",Crowdfunding!H834,0)</f>
        <v>0</v>
      </c>
    </row>
    <row r="835" spans="1:4" x14ac:dyDescent="0.25">
      <c r="A835" t="str">
        <f>IF(Crowdfunding!G835="successful","successful","")</f>
        <v>successful</v>
      </c>
      <c r="B835">
        <f>IF(Crowdfunding!G835="successful",Crowdfunding!H835,0)</f>
        <v>165</v>
      </c>
      <c r="C835" t="str">
        <f>IF(Crowdfunding!G835="failed","failed","")</f>
        <v/>
      </c>
      <c r="D835">
        <f>IF(Crowdfunding!G835="failed",Crowdfunding!H835,0)</f>
        <v>0</v>
      </c>
    </row>
    <row r="836" spans="1:4" x14ac:dyDescent="0.25">
      <c r="A836" t="str">
        <f>IF(Crowdfunding!G836="successful","successful","")</f>
        <v>successful</v>
      </c>
      <c r="B836">
        <f>IF(Crowdfunding!G836="successful",Crowdfunding!H836,0)</f>
        <v>119</v>
      </c>
      <c r="C836" t="str">
        <f>IF(Crowdfunding!G836="failed","failed","")</f>
        <v/>
      </c>
      <c r="D836">
        <f>IF(Crowdfunding!G836="failed",Crowdfunding!H836,0)</f>
        <v>0</v>
      </c>
    </row>
    <row r="837" spans="1:4" x14ac:dyDescent="0.25">
      <c r="A837" t="str">
        <f>IF(Crowdfunding!G837="successful","successful","")</f>
        <v/>
      </c>
      <c r="B837">
        <f>IF(Crowdfunding!G837="successful",Crowdfunding!H837,0)</f>
        <v>0</v>
      </c>
      <c r="C837" t="str">
        <f>IF(Crowdfunding!G837="failed","failed","")</f>
        <v>failed</v>
      </c>
      <c r="D837">
        <f>IF(Crowdfunding!G837="failed",Crowdfunding!H837,0)</f>
        <v>1758</v>
      </c>
    </row>
    <row r="838" spans="1:4" x14ac:dyDescent="0.25">
      <c r="A838" t="str">
        <f>IF(Crowdfunding!G838="successful","successful","")</f>
        <v/>
      </c>
      <c r="B838">
        <f>IF(Crowdfunding!G838="successful",Crowdfunding!H838,0)</f>
        <v>0</v>
      </c>
      <c r="C838" t="str">
        <f>IF(Crowdfunding!G838="failed","failed","")</f>
        <v>failed</v>
      </c>
      <c r="D838">
        <f>IF(Crowdfunding!G838="failed",Crowdfunding!H838,0)</f>
        <v>94</v>
      </c>
    </row>
    <row r="839" spans="1:4" x14ac:dyDescent="0.25">
      <c r="A839" t="str">
        <f>IF(Crowdfunding!G839="successful","successful","")</f>
        <v>successful</v>
      </c>
      <c r="B839">
        <f>IF(Crowdfunding!G839="successful",Crowdfunding!H839,0)</f>
        <v>1797</v>
      </c>
      <c r="C839" t="str">
        <f>IF(Crowdfunding!G839="failed","failed","")</f>
        <v/>
      </c>
      <c r="D839">
        <f>IF(Crowdfunding!G839="failed",Crowdfunding!H839,0)</f>
        <v>0</v>
      </c>
    </row>
    <row r="840" spans="1:4" x14ac:dyDescent="0.25">
      <c r="A840" t="str">
        <f>IF(Crowdfunding!G840="successful","successful","")</f>
        <v>successful</v>
      </c>
      <c r="B840">
        <f>IF(Crowdfunding!G840="successful",Crowdfunding!H840,0)</f>
        <v>261</v>
      </c>
      <c r="C840" t="str">
        <f>IF(Crowdfunding!G840="failed","failed","")</f>
        <v/>
      </c>
      <c r="D840">
        <f>IF(Crowdfunding!G840="failed",Crowdfunding!H840,0)</f>
        <v>0</v>
      </c>
    </row>
    <row r="841" spans="1:4" x14ac:dyDescent="0.25">
      <c r="A841" t="str">
        <f>IF(Crowdfunding!G841="successful","successful","")</f>
        <v>successful</v>
      </c>
      <c r="B841">
        <f>IF(Crowdfunding!G841="successful",Crowdfunding!H841,0)</f>
        <v>157</v>
      </c>
      <c r="C841" t="str">
        <f>IF(Crowdfunding!G841="failed","failed","")</f>
        <v/>
      </c>
      <c r="D841">
        <f>IF(Crowdfunding!G841="failed",Crowdfunding!H841,0)</f>
        <v>0</v>
      </c>
    </row>
    <row r="842" spans="1:4" x14ac:dyDescent="0.25">
      <c r="A842" t="str">
        <f>IF(Crowdfunding!G842="successful","successful","")</f>
        <v>successful</v>
      </c>
      <c r="B842">
        <f>IF(Crowdfunding!G842="successful",Crowdfunding!H842,0)</f>
        <v>3533</v>
      </c>
      <c r="C842" t="str">
        <f>IF(Crowdfunding!G842="failed","failed","")</f>
        <v/>
      </c>
      <c r="D842">
        <f>IF(Crowdfunding!G842="failed",Crowdfunding!H842,0)</f>
        <v>0</v>
      </c>
    </row>
    <row r="843" spans="1:4" x14ac:dyDescent="0.25">
      <c r="A843" t="str">
        <f>IF(Crowdfunding!G843="successful","successful","")</f>
        <v>successful</v>
      </c>
      <c r="B843">
        <f>IF(Crowdfunding!G843="successful",Crowdfunding!H843,0)</f>
        <v>155</v>
      </c>
      <c r="C843" t="str">
        <f>IF(Crowdfunding!G843="failed","failed","")</f>
        <v/>
      </c>
      <c r="D843">
        <f>IF(Crowdfunding!G843="failed",Crowdfunding!H843,0)</f>
        <v>0</v>
      </c>
    </row>
    <row r="844" spans="1:4" x14ac:dyDescent="0.25">
      <c r="A844" t="str">
        <f>IF(Crowdfunding!G844="successful","successful","")</f>
        <v>successful</v>
      </c>
      <c r="B844">
        <f>IF(Crowdfunding!G844="successful",Crowdfunding!H844,0)</f>
        <v>132</v>
      </c>
      <c r="C844" t="str">
        <f>IF(Crowdfunding!G844="failed","failed","")</f>
        <v/>
      </c>
      <c r="D844">
        <f>IF(Crowdfunding!G844="failed",Crowdfunding!H844,0)</f>
        <v>0</v>
      </c>
    </row>
    <row r="845" spans="1:4" x14ac:dyDescent="0.25">
      <c r="A845" t="str">
        <f>IF(Crowdfunding!G845="successful","successful","")</f>
        <v/>
      </c>
      <c r="B845">
        <f>IF(Crowdfunding!G845="successful",Crowdfunding!H845,0)</f>
        <v>0</v>
      </c>
      <c r="C845" t="str">
        <f>IF(Crowdfunding!G845="failed","failed","")</f>
        <v>failed</v>
      </c>
      <c r="D845">
        <f>IF(Crowdfunding!G845="failed",Crowdfunding!H845,0)</f>
        <v>33</v>
      </c>
    </row>
    <row r="846" spans="1:4" x14ac:dyDescent="0.25">
      <c r="A846" t="str">
        <f>IF(Crowdfunding!G846="successful","successful","")</f>
        <v/>
      </c>
      <c r="B846">
        <f>IF(Crowdfunding!G846="successful",Crowdfunding!H846,0)</f>
        <v>0</v>
      </c>
      <c r="C846" t="str">
        <f>IF(Crowdfunding!G846="failed","failed","")</f>
        <v/>
      </c>
      <c r="D846">
        <f>IF(Crowdfunding!G846="failed",Crowdfunding!H846,0)</f>
        <v>0</v>
      </c>
    </row>
    <row r="847" spans="1:4" x14ac:dyDescent="0.25">
      <c r="A847" t="str">
        <f>IF(Crowdfunding!G847="successful","successful","")</f>
        <v>successful</v>
      </c>
      <c r="B847">
        <f>IF(Crowdfunding!G847="successful",Crowdfunding!H847,0)</f>
        <v>1354</v>
      </c>
      <c r="C847" t="str">
        <f>IF(Crowdfunding!G847="failed","failed","")</f>
        <v/>
      </c>
      <c r="D847">
        <f>IF(Crowdfunding!G847="failed",Crowdfunding!H847,0)</f>
        <v>0</v>
      </c>
    </row>
    <row r="848" spans="1:4" x14ac:dyDescent="0.25">
      <c r="A848" t="str">
        <f>IF(Crowdfunding!G848="successful","successful","")</f>
        <v>successful</v>
      </c>
      <c r="B848">
        <f>IF(Crowdfunding!G848="successful",Crowdfunding!H848,0)</f>
        <v>48</v>
      </c>
      <c r="C848" t="str">
        <f>IF(Crowdfunding!G848="failed","failed","")</f>
        <v/>
      </c>
      <c r="D848">
        <f>IF(Crowdfunding!G848="failed",Crowdfunding!H848,0)</f>
        <v>0</v>
      </c>
    </row>
    <row r="849" spans="1:4" x14ac:dyDescent="0.25">
      <c r="A849" t="str">
        <f>IF(Crowdfunding!G849="successful","successful","")</f>
        <v>successful</v>
      </c>
      <c r="B849">
        <f>IF(Crowdfunding!G849="successful",Crowdfunding!H849,0)</f>
        <v>110</v>
      </c>
      <c r="C849" t="str">
        <f>IF(Crowdfunding!G849="failed","failed","")</f>
        <v/>
      </c>
      <c r="D849">
        <f>IF(Crowdfunding!G849="failed",Crowdfunding!H849,0)</f>
        <v>0</v>
      </c>
    </row>
    <row r="850" spans="1:4" x14ac:dyDescent="0.25">
      <c r="A850" t="str">
        <f>IF(Crowdfunding!G850="successful","successful","")</f>
        <v>successful</v>
      </c>
      <c r="B850">
        <f>IF(Crowdfunding!G850="successful",Crowdfunding!H850,0)</f>
        <v>172</v>
      </c>
      <c r="C850" t="str">
        <f>IF(Crowdfunding!G850="failed","failed","")</f>
        <v/>
      </c>
      <c r="D850">
        <f>IF(Crowdfunding!G850="failed",Crowdfunding!H850,0)</f>
        <v>0</v>
      </c>
    </row>
    <row r="851" spans="1:4" x14ac:dyDescent="0.25">
      <c r="A851" t="str">
        <f>IF(Crowdfunding!G851="successful","successful","")</f>
        <v>successful</v>
      </c>
      <c r="B851">
        <f>IF(Crowdfunding!G851="successful",Crowdfunding!H851,0)</f>
        <v>307</v>
      </c>
      <c r="C851" t="str">
        <f>IF(Crowdfunding!G851="failed","failed","")</f>
        <v/>
      </c>
      <c r="D851">
        <f>IF(Crowdfunding!G851="failed",Crowdfunding!H851,0)</f>
        <v>0</v>
      </c>
    </row>
    <row r="852" spans="1:4" x14ac:dyDescent="0.25">
      <c r="A852" t="str">
        <f>IF(Crowdfunding!G852="successful","successful","")</f>
        <v/>
      </c>
      <c r="B852">
        <f>IF(Crowdfunding!G852="successful",Crowdfunding!H852,0)</f>
        <v>0</v>
      </c>
      <c r="C852" t="str">
        <f>IF(Crowdfunding!G852="failed","failed","")</f>
        <v>failed</v>
      </c>
      <c r="D852">
        <f>IF(Crowdfunding!G852="failed",Crowdfunding!H852,0)</f>
        <v>1</v>
      </c>
    </row>
    <row r="853" spans="1:4" x14ac:dyDescent="0.25">
      <c r="A853" t="str">
        <f>IF(Crowdfunding!G853="successful","successful","")</f>
        <v>successful</v>
      </c>
      <c r="B853">
        <f>IF(Crowdfunding!G853="successful",Crowdfunding!H853,0)</f>
        <v>160</v>
      </c>
      <c r="C853" t="str">
        <f>IF(Crowdfunding!G853="failed","failed","")</f>
        <v/>
      </c>
      <c r="D853">
        <f>IF(Crowdfunding!G853="failed",Crowdfunding!H853,0)</f>
        <v>0</v>
      </c>
    </row>
    <row r="854" spans="1:4" x14ac:dyDescent="0.25">
      <c r="A854" t="str">
        <f>IF(Crowdfunding!G854="successful","successful","")</f>
        <v/>
      </c>
      <c r="B854">
        <f>IF(Crowdfunding!G854="successful",Crowdfunding!H854,0)</f>
        <v>0</v>
      </c>
      <c r="C854" t="str">
        <f>IF(Crowdfunding!G854="failed","failed","")</f>
        <v>failed</v>
      </c>
      <c r="D854">
        <f>IF(Crowdfunding!G854="failed",Crowdfunding!H854,0)</f>
        <v>31</v>
      </c>
    </row>
    <row r="855" spans="1:4" x14ac:dyDescent="0.25">
      <c r="A855" t="str">
        <f>IF(Crowdfunding!G855="successful","successful","")</f>
        <v>successful</v>
      </c>
      <c r="B855">
        <f>IF(Crowdfunding!G855="successful",Crowdfunding!H855,0)</f>
        <v>1467</v>
      </c>
      <c r="C855" t="str">
        <f>IF(Crowdfunding!G855="failed","failed","")</f>
        <v/>
      </c>
      <c r="D855">
        <f>IF(Crowdfunding!G855="failed",Crowdfunding!H855,0)</f>
        <v>0</v>
      </c>
    </row>
    <row r="856" spans="1:4" x14ac:dyDescent="0.25">
      <c r="A856" t="str">
        <f>IF(Crowdfunding!G856="successful","successful","")</f>
        <v>successful</v>
      </c>
      <c r="B856">
        <f>IF(Crowdfunding!G856="successful",Crowdfunding!H856,0)</f>
        <v>2662</v>
      </c>
      <c r="C856" t="str">
        <f>IF(Crowdfunding!G856="failed","failed","")</f>
        <v/>
      </c>
      <c r="D856">
        <f>IF(Crowdfunding!G856="failed",Crowdfunding!H856,0)</f>
        <v>0</v>
      </c>
    </row>
    <row r="857" spans="1:4" x14ac:dyDescent="0.25">
      <c r="A857" t="str">
        <f>IF(Crowdfunding!G857="successful","successful","")</f>
        <v>successful</v>
      </c>
      <c r="B857">
        <f>IF(Crowdfunding!G857="successful",Crowdfunding!H857,0)</f>
        <v>452</v>
      </c>
      <c r="C857" t="str">
        <f>IF(Crowdfunding!G857="failed","failed","")</f>
        <v/>
      </c>
      <c r="D857">
        <f>IF(Crowdfunding!G857="failed",Crowdfunding!H857,0)</f>
        <v>0</v>
      </c>
    </row>
    <row r="858" spans="1:4" x14ac:dyDescent="0.25">
      <c r="A858" t="str">
        <f>IF(Crowdfunding!G858="successful","successful","")</f>
        <v>successful</v>
      </c>
      <c r="B858">
        <f>IF(Crowdfunding!G858="successful",Crowdfunding!H858,0)</f>
        <v>158</v>
      </c>
      <c r="C858" t="str">
        <f>IF(Crowdfunding!G858="failed","failed","")</f>
        <v/>
      </c>
      <c r="D858">
        <f>IF(Crowdfunding!G858="failed",Crowdfunding!H858,0)</f>
        <v>0</v>
      </c>
    </row>
    <row r="859" spans="1:4" x14ac:dyDescent="0.25">
      <c r="A859" t="str">
        <f>IF(Crowdfunding!G859="successful","successful","")</f>
        <v>successful</v>
      </c>
      <c r="B859">
        <f>IF(Crowdfunding!G859="successful",Crowdfunding!H859,0)</f>
        <v>225</v>
      </c>
      <c r="C859" t="str">
        <f>IF(Crowdfunding!G859="failed","failed","")</f>
        <v/>
      </c>
      <c r="D859">
        <f>IF(Crowdfunding!G859="failed",Crowdfunding!H859,0)</f>
        <v>0</v>
      </c>
    </row>
    <row r="860" spans="1:4" x14ac:dyDescent="0.25">
      <c r="A860" t="str">
        <f>IF(Crowdfunding!G860="successful","successful","")</f>
        <v/>
      </c>
      <c r="B860">
        <f>IF(Crowdfunding!G860="successful",Crowdfunding!H860,0)</f>
        <v>0</v>
      </c>
      <c r="C860" t="str">
        <f>IF(Crowdfunding!G860="failed","failed","")</f>
        <v>failed</v>
      </c>
      <c r="D860">
        <f>IF(Crowdfunding!G860="failed",Crowdfunding!H860,0)</f>
        <v>35</v>
      </c>
    </row>
    <row r="861" spans="1:4" x14ac:dyDescent="0.25">
      <c r="A861" t="str">
        <f>IF(Crowdfunding!G861="successful","successful","")</f>
        <v/>
      </c>
      <c r="B861">
        <f>IF(Crowdfunding!G861="successful",Crowdfunding!H861,0)</f>
        <v>0</v>
      </c>
      <c r="C861" t="str">
        <f>IF(Crowdfunding!G861="failed","failed","")</f>
        <v>failed</v>
      </c>
      <c r="D861">
        <f>IF(Crowdfunding!G861="failed",Crowdfunding!H861,0)</f>
        <v>63</v>
      </c>
    </row>
    <row r="862" spans="1:4" x14ac:dyDescent="0.25">
      <c r="A862" t="str">
        <f>IF(Crowdfunding!G862="successful","successful","")</f>
        <v>successful</v>
      </c>
      <c r="B862">
        <f>IF(Crowdfunding!G862="successful",Crowdfunding!H862,0)</f>
        <v>65</v>
      </c>
      <c r="C862" t="str">
        <f>IF(Crowdfunding!G862="failed","failed","")</f>
        <v/>
      </c>
      <c r="D862">
        <f>IF(Crowdfunding!G862="failed",Crowdfunding!H862,0)</f>
        <v>0</v>
      </c>
    </row>
    <row r="863" spans="1:4" x14ac:dyDescent="0.25">
      <c r="A863" t="str">
        <f>IF(Crowdfunding!G863="successful","successful","")</f>
        <v>successful</v>
      </c>
      <c r="B863">
        <f>IF(Crowdfunding!G863="successful",Crowdfunding!H863,0)</f>
        <v>163</v>
      </c>
      <c r="C863" t="str">
        <f>IF(Crowdfunding!G863="failed","failed","")</f>
        <v/>
      </c>
      <c r="D863">
        <f>IF(Crowdfunding!G863="failed",Crowdfunding!H863,0)</f>
        <v>0</v>
      </c>
    </row>
    <row r="864" spans="1:4" x14ac:dyDescent="0.25">
      <c r="A864" t="str">
        <f>IF(Crowdfunding!G864="successful","successful","")</f>
        <v>successful</v>
      </c>
      <c r="B864">
        <f>IF(Crowdfunding!G864="successful",Crowdfunding!H864,0)</f>
        <v>85</v>
      </c>
      <c r="C864" t="str">
        <f>IF(Crowdfunding!G864="failed","failed","")</f>
        <v/>
      </c>
      <c r="D864">
        <f>IF(Crowdfunding!G864="failed",Crowdfunding!H864,0)</f>
        <v>0</v>
      </c>
    </row>
    <row r="865" spans="1:4" x14ac:dyDescent="0.25">
      <c r="A865" t="str">
        <f>IF(Crowdfunding!G865="successful","successful","")</f>
        <v>successful</v>
      </c>
      <c r="B865">
        <f>IF(Crowdfunding!G865="successful",Crowdfunding!H865,0)</f>
        <v>217</v>
      </c>
      <c r="C865" t="str">
        <f>IF(Crowdfunding!G865="failed","failed","")</f>
        <v/>
      </c>
      <c r="D865">
        <f>IF(Crowdfunding!G865="failed",Crowdfunding!H865,0)</f>
        <v>0</v>
      </c>
    </row>
    <row r="866" spans="1:4" x14ac:dyDescent="0.25">
      <c r="A866" t="str">
        <f>IF(Crowdfunding!G866="successful","successful","")</f>
        <v>successful</v>
      </c>
      <c r="B866">
        <f>IF(Crowdfunding!G866="successful",Crowdfunding!H866,0)</f>
        <v>150</v>
      </c>
      <c r="C866" t="str">
        <f>IF(Crowdfunding!G866="failed","failed","")</f>
        <v/>
      </c>
      <c r="D866">
        <f>IF(Crowdfunding!G866="failed",Crowdfunding!H866,0)</f>
        <v>0</v>
      </c>
    </row>
    <row r="867" spans="1:4" x14ac:dyDescent="0.25">
      <c r="A867" t="str">
        <f>IF(Crowdfunding!G867="successful","successful","")</f>
        <v>successful</v>
      </c>
      <c r="B867">
        <f>IF(Crowdfunding!G867="successful",Crowdfunding!H867,0)</f>
        <v>3272</v>
      </c>
      <c r="C867" t="str">
        <f>IF(Crowdfunding!G867="failed","failed","")</f>
        <v/>
      </c>
      <c r="D867">
        <f>IF(Crowdfunding!G867="failed",Crowdfunding!H867,0)</f>
        <v>0</v>
      </c>
    </row>
    <row r="868" spans="1:4" x14ac:dyDescent="0.25">
      <c r="A868" t="str">
        <f>IF(Crowdfunding!G868="successful","successful","")</f>
        <v/>
      </c>
      <c r="B868">
        <f>IF(Crowdfunding!G868="successful",Crowdfunding!H868,0)</f>
        <v>0</v>
      </c>
      <c r="C868" t="str">
        <f>IF(Crowdfunding!G868="failed","failed","")</f>
        <v/>
      </c>
      <c r="D868">
        <f>IF(Crowdfunding!G868="failed",Crowdfunding!H868,0)</f>
        <v>0</v>
      </c>
    </row>
    <row r="869" spans="1:4" x14ac:dyDescent="0.25">
      <c r="A869" t="str">
        <f>IF(Crowdfunding!G869="successful","successful","")</f>
        <v>successful</v>
      </c>
      <c r="B869">
        <f>IF(Crowdfunding!G869="successful",Crowdfunding!H869,0)</f>
        <v>300</v>
      </c>
      <c r="C869" t="str">
        <f>IF(Crowdfunding!G869="failed","failed","")</f>
        <v/>
      </c>
      <c r="D869">
        <f>IF(Crowdfunding!G869="failed",Crowdfunding!H869,0)</f>
        <v>0</v>
      </c>
    </row>
    <row r="870" spans="1:4" x14ac:dyDescent="0.25">
      <c r="A870" t="str">
        <f>IF(Crowdfunding!G870="successful","successful","")</f>
        <v>successful</v>
      </c>
      <c r="B870">
        <f>IF(Crowdfunding!G870="successful",Crowdfunding!H870,0)</f>
        <v>126</v>
      </c>
      <c r="C870" t="str">
        <f>IF(Crowdfunding!G870="failed","failed","")</f>
        <v/>
      </c>
      <c r="D870">
        <f>IF(Crowdfunding!G870="failed",Crowdfunding!H870,0)</f>
        <v>0</v>
      </c>
    </row>
    <row r="871" spans="1:4" x14ac:dyDescent="0.25">
      <c r="A871" t="str">
        <f>IF(Crowdfunding!G871="successful","successful","")</f>
        <v/>
      </c>
      <c r="B871">
        <f>IF(Crowdfunding!G871="successful",Crowdfunding!H871,0)</f>
        <v>0</v>
      </c>
      <c r="C871" t="str">
        <f>IF(Crowdfunding!G871="failed","failed","")</f>
        <v>failed</v>
      </c>
      <c r="D871">
        <f>IF(Crowdfunding!G871="failed",Crowdfunding!H871,0)</f>
        <v>526</v>
      </c>
    </row>
    <row r="872" spans="1:4" x14ac:dyDescent="0.25">
      <c r="A872" t="str">
        <f>IF(Crowdfunding!G872="successful","successful","")</f>
        <v/>
      </c>
      <c r="B872">
        <f>IF(Crowdfunding!G872="successful",Crowdfunding!H872,0)</f>
        <v>0</v>
      </c>
      <c r="C872" t="str">
        <f>IF(Crowdfunding!G872="failed","failed","")</f>
        <v>failed</v>
      </c>
      <c r="D872">
        <f>IF(Crowdfunding!G872="failed",Crowdfunding!H872,0)</f>
        <v>121</v>
      </c>
    </row>
    <row r="873" spans="1:4" x14ac:dyDescent="0.25">
      <c r="A873" t="str">
        <f>IF(Crowdfunding!G873="successful","successful","")</f>
        <v>successful</v>
      </c>
      <c r="B873">
        <f>IF(Crowdfunding!G873="successful",Crowdfunding!H873,0)</f>
        <v>2320</v>
      </c>
      <c r="C873" t="str">
        <f>IF(Crowdfunding!G873="failed","failed","")</f>
        <v/>
      </c>
      <c r="D873">
        <f>IF(Crowdfunding!G873="failed",Crowdfunding!H873,0)</f>
        <v>0</v>
      </c>
    </row>
    <row r="874" spans="1:4" x14ac:dyDescent="0.25">
      <c r="A874" t="str">
        <f>IF(Crowdfunding!G874="successful","successful","")</f>
        <v>successful</v>
      </c>
      <c r="B874">
        <f>IF(Crowdfunding!G874="successful",Crowdfunding!H874,0)</f>
        <v>81</v>
      </c>
      <c r="C874" t="str">
        <f>IF(Crowdfunding!G874="failed","failed","")</f>
        <v/>
      </c>
      <c r="D874">
        <f>IF(Crowdfunding!G874="failed",Crowdfunding!H874,0)</f>
        <v>0</v>
      </c>
    </row>
    <row r="875" spans="1:4" x14ac:dyDescent="0.25">
      <c r="A875" t="str">
        <f>IF(Crowdfunding!G875="successful","successful","")</f>
        <v>successful</v>
      </c>
      <c r="B875">
        <f>IF(Crowdfunding!G875="successful",Crowdfunding!H875,0)</f>
        <v>1887</v>
      </c>
      <c r="C875" t="str">
        <f>IF(Crowdfunding!G875="failed","failed","")</f>
        <v/>
      </c>
      <c r="D875">
        <f>IF(Crowdfunding!G875="failed",Crowdfunding!H875,0)</f>
        <v>0</v>
      </c>
    </row>
    <row r="876" spans="1:4" x14ac:dyDescent="0.25">
      <c r="A876" t="str">
        <f>IF(Crowdfunding!G876="successful","successful","")</f>
        <v>successful</v>
      </c>
      <c r="B876">
        <f>IF(Crowdfunding!G876="successful",Crowdfunding!H876,0)</f>
        <v>4358</v>
      </c>
      <c r="C876" t="str">
        <f>IF(Crowdfunding!G876="failed","failed","")</f>
        <v/>
      </c>
      <c r="D876">
        <f>IF(Crowdfunding!G876="failed",Crowdfunding!H876,0)</f>
        <v>0</v>
      </c>
    </row>
    <row r="877" spans="1:4" x14ac:dyDescent="0.25">
      <c r="A877" t="str">
        <f>IF(Crowdfunding!G877="successful","successful","")</f>
        <v/>
      </c>
      <c r="B877">
        <f>IF(Crowdfunding!G877="successful",Crowdfunding!H877,0)</f>
        <v>0</v>
      </c>
      <c r="C877" t="str">
        <f>IF(Crowdfunding!G877="failed","failed","")</f>
        <v>failed</v>
      </c>
      <c r="D877">
        <f>IF(Crowdfunding!G877="failed",Crowdfunding!H877,0)</f>
        <v>67</v>
      </c>
    </row>
    <row r="878" spans="1:4" x14ac:dyDescent="0.25">
      <c r="A878" t="str">
        <f>IF(Crowdfunding!G878="successful","successful","")</f>
        <v/>
      </c>
      <c r="B878">
        <f>IF(Crowdfunding!G878="successful",Crowdfunding!H878,0)</f>
        <v>0</v>
      </c>
      <c r="C878" t="str">
        <f>IF(Crowdfunding!G878="failed","failed","")</f>
        <v>failed</v>
      </c>
      <c r="D878">
        <f>IF(Crowdfunding!G878="failed",Crowdfunding!H878,0)</f>
        <v>57</v>
      </c>
    </row>
    <row r="879" spans="1:4" x14ac:dyDescent="0.25">
      <c r="A879" t="str">
        <f>IF(Crowdfunding!G879="successful","successful","")</f>
        <v/>
      </c>
      <c r="B879">
        <f>IF(Crowdfunding!G879="successful",Crowdfunding!H879,0)</f>
        <v>0</v>
      </c>
      <c r="C879" t="str">
        <f>IF(Crowdfunding!G879="failed","failed","")</f>
        <v>failed</v>
      </c>
      <c r="D879">
        <f>IF(Crowdfunding!G879="failed",Crowdfunding!H879,0)</f>
        <v>1229</v>
      </c>
    </row>
    <row r="880" spans="1:4" x14ac:dyDescent="0.25">
      <c r="A880" t="str">
        <f>IF(Crowdfunding!G880="successful","successful","")</f>
        <v/>
      </c>
      <c r="B880">
        <f>IF(Crowdfunding!G880="successful",Crowdfunding!H880,0)</f>
        <v>0</v>
      </c>
      <c r="C880" t="str">
        <f>IF(Crowdfunding!G880="failed","failed","")</f>
        <v>failed</v>
      </c>
      <c r="D880">
        <f>IF(Crowdfunding!G880="failed",Crowdfunding!H880,0)</f>
        <v>12</v>
      </c>
    </row>
    <row r="881" spans="1:4" x14ac:dyDescent="0.25">
      <c r="A881" t="str">
        <f>IF(Crowdfunding!G881="successful","successful","")</f>
        <v>successful</v>
      </c>
      <c r="B881">
        <f>IF(Crowdfunding!G881="successful",Crowdfunding!H881,0)</f>
        <v>53</v>
      </c>
      <c r="C881" t="str">
        <f>IF(Crowdfunding!G881="failed","failed","")</f>
        <v/>
      </c>
      <c r="D881">
        <f>IF(Crowdfunding!G881="failed",Crowdfunding!H881,0)</f>
        <v>0</v>
      </c>
    </row>
    <row r="882" spans="1:4" x14ac:dyDescent="0.25">
      <c r="A882" t="str">
        <f>IF(Crowdfunding!G882="successful","successful","")</f>
        <v>successful</v>
      </c>
      <c r="B882">
        <f>IF(Crowdfunding!G882="successful",Crowdfunding!H882,0)</f>
        <v>2414</v>
      </c>
      <c r="C882" t="str">
        <f>IF(Crowdfunding!G882="failed","failed","")</f>
        <v/>
      </c>
      <c r="D882">
        <f>IF(Crowdfunding!G882="failed",Crowdfunding!H882,0)</f>
        <v>0</v>
      </c>
    </row>
    <row r="883" spans="1:4" x14ac:dyDescent="0.25">
      <c r="A883" t="str">
        <f>IF(Crowdfunding!G883="successful","successful","")</f>
        <v/>
      </c>
      <c r="B883">
        <f>IF(Crowdfunding!G883="successful",Crowdfunding!H883,0)</f>
        <v>0</v>
      </c>
      <c r="C883" t="str">
        <f>IF(Crowdfunding!G883="failed","failed","")</f>
        <v>failed</v>
      </c>
      <c r="D883">
        <f>IF(Crowdfunding!G883="failed",Crowdfunding!H883,0)</f>
        <v>452</v>
      </c>
    </row>
    <row r="884" spans="1:4" x14ac:dyDescent="0.25">
      <c r="A884" t="str">
        <f>IF(Crowdfunding!G884="successful","successful","")</f>
        <v>successful</v>
      </c>
      <c r="B884">
        <f>IF(Crowdfunding!G884="successful",Crowdfunding!H884,0)</f>
        <v>80</v>
      </c>
      <c r="C884" t="str">
        <f>IF(Crowdfunding!G884="failed","failed","")</f>
        <v/>
      </c>
      <c r="D884">
        <f>IF(Crowdfunding!G884="failed",Crowdfunding!H884,0)</f>
        <v>0</v>
      </c>
    </row>
    <row r="885" spans="1:4" x14ac:dyDescent="0.25">
      <c r="A885" t="str">
        <f>IF(Crowdfunding!G885="successful","successful","")</f>
        <v>successful</v>
      </c>
      <c r="B885">
        <f>IF(Crowdfunding!G885="successful",Crowdfunding!H885,0)</f>
        <v>193</v>
      </c>
      <c r="C885" t="str">
        <f>IF(Crowdfunding!G885="failed","failed","")</f>
        <v/>
      </c>
      <c r="D885">
        <f>IF(Crowdfunding!G885="failed",Crowdfunding!H885,0)</f>
        <v>0</v>
      </c>
    </row>
    <row r="886" spans="1:4" x14ac:dyDescent="0.25">
      <c r="A886" t="str">
        <f>IF(Crowdfunding!G886="successful","successful","")</f>
        <v/>
      </c>
      <c r="B886">
        <f>IF(Crowdfunding!G886="successful",Crowdfunding!H886,0)</f>
        <v>0</v>
      </c>
      <c r="C886" t="str">
        <f>IF(Crowdfunding!G886="failed","failed","")</f>
        <v>failed</v>
      </c>
      <c r="D886">
        <f>IF(Crowdfunding!G886="failed",Crowdfunding!H886,0)</f>
        <v>1886</v>
      </c>
    </row>
    <row r="887" spans="1:4" x14ac:dyDescent="0.25">
      <c r="A887" t="str">
        <f>IF(Crowdfunding!G887="successful","successful","")</f>
        <v>successful</v>
      </c>
      <c r="B887">
        <f>IF(Crowdfunding!G887="successful",Crowdfunding!H887,0)</f>
        <v>52</v>
      </c>
      <c r="C887" t="str">
        <f>IF(Crowdfunding!G887="failed","failed","")</f>
        <v/>
      </c>
      <c r="D887">
        <f>IF(Crowdfunding!G887="failed",Crowdfunding!H887,0)</f>
        <v>0</v>
      </c>
    </row>
    <row r="888" spans="1:4" x14ac:dyDescent="0.25">
      <c r="A888" t="str">
        <f>IF(Crowdfunding!G888="successful","successful","")</f>
        <v/>
      </c>
      <c r="B888">
        <f>IF(Crowdfunding!G888="successful",Crowdfunding!H888,0)</f>
        <v>0</v>
      </c>
      <c r="C888" t="str">
        <f>IF(Crowdfunding!G888="failed","failed","")</f>
        <v>failed</v>
      </c>
      <c r="D888">
        <f>IF(Crowdfunding!G888="failed",Crowdfunding!H888,0)</f>
        <v>1825</v>
      </c>
    </row>
    <row r="889" spans="1:4" x14ac:dyDescent="0.25">
      <c r="A889" t="str">
        <f>IF(Crowdfunding!G889="successful","successful","")</f>
        <v/>
      </c>
      <c r="B889">
        <f>IF(Crowdfunding!G889="successful",Crowdfunding!H889,0)</f>
        <v>0</v>
      </c>
      <c r="C889" t="str">
        <f>IF(Crowdfunding!G889="failed","failed","")</f>
        <v>failed</v>
      </c>
      <c r="D889">
        <f>IF(Crowdfunding!G889="failed",Crowdfunding!H889,0)</f>
        <v>31</v>
      </c>
    </row>
    <row r="890" spans="1:4" x14ac:dyDescent="0.25">
      <c r="A890" t="str">
        <f>IF(Crowdfunding!G890="successful","successful","")</f>
        <v>successful</v>
      </c>
      <c r="B890">
        <f>IF(Crowdfunding!G890="successful",Crowdfunding!H890,0)</f>
        <v>290</v>
      </c>
      <c r="C890" t="str">
        <f>IF(Crowdfunding!G890="failed","failed","")</f>
        <v/>
      </c>
      <c r="D890">
        <f>IF(Crowdfunding!G890="failed",Crowdfunding!H890,0)</f>
        <v>0</v>
      </c>
    </row>
    <row r="891" spans="1:4" x14ac:dyDescent="0.25">
      <c r="A891" t="str">
        <f>IF(Crowdfunding!G891="successful","successful","")</f>
        <v>successful</v>
      </c>
      <c r="B891">
        <f>IF(Crowdfunding!G891="successful",Crowdfunding!H891,0)</f>
        <v>122</v>
      </c>
      <c r="C891" t="str">
        <f>IF(Crowdfunding!G891="failed","failed","")</f>
        <v/>
      </c>
      <c r="D891">
        <f>IF(Crowdfunding!G891="failed",Crowdfunding!H891,0)</f>
        <v>0</v>
      </c>
    </row>
    <row r="892" spans="1:4" x14ac:dyDescent="0.25">
      <c r="A892" t="str">
        <f>IF(Crowdfunding!G892="successful","successful","")</f>
        <v>successful</v>
      </c>
      <c r="B892">
        <f>IF(Crowdfunding!G892="successful",Crowdfunding!H892,0)</f>
        <v>1470</v>
      </c>
      <c r="C892" t="str">
        <f>IF(Crowdfunding!G892="failed","failed","")</f>
        <v/>
      </c>
      <c r="D892">
        <f>IF(Crowdfunding!G892="failed",Crowdfunding!H892,0)</f>
        <v>0</v>
      </c>
    </row>
    <row r="893" spans="1:4" x14ac:dyDescent="0.25">
      <c r="A893" t="str">
        <f>IF(Crowdfunding!G893="successful","successful","")</f>
        <v>successful</v>
      </c>
      <c r="B893">
        <f>IF(Crowdfunding!G893="successful",Crowdfunding!H893,0)</f>
        <v>165</v>
      </c>
      <c r="C893" t="str">
        <f>IF(Crowdfunding!G893="failed","failed","")</f>
        <v/>
      </c>
      <c r="D893">
        <f>IF(Crowdfunding!G893="failed",Crowdfunding!H893,0)</f>
        <v>0</v>
      </c>
    </row>
    <row r="894" spans="1:4" x14ac:dyDescent="0.25">
      <c r="A894" t="str">
        <f>IF(Crowdfunding!G894="successful","successful","")</f>
        <v>successful</v>
      </c>
      <c r="B894">
        <f>IF(Crowdfunding!G894="successful",Crowdfunding!H894,0)</f>
        <v>182</v>
      </c>
      <c r="C894" t="str">
        <f>IF(Crowdfunding!G894="failed","failed","")</f>
        <v/>
      </c>
      <c r="D894">
        <f>IF(Crowdfunding!G894="failed",Crowdfunding!H894,0)</f>
        <v>0</v>
      </c>
    </row>
    <row r="895" spans="1:4" x14ac:dyDescent="0.25">
      <c r="A895" t="str">
        <f>IF(Crowdfunding!G895="successful","successful","")</f>
        <v>successful</v>
      </c>
      <c r="B895">
        <f>IF(Crowdfunding!G895="successful",Crowdfunding!H895,0)</f>
        <v>199</v>
      </c>
      <c r="C895" t="str">
        <f>IF(Crowdfunding!G895="failed","failed","")</f>
        <v/>
      </c>
      <c r="D895">
        <f>IF(Crowdfunding!G895="failed",Crowdfunding!H895,0)</f>
        <v>0</v>
      </c>
    </row>
    <row r="896" spans="1:4" x14ac:dyDescent="0.25">
      <c r="A896" t="str">
        <f>IF(Crowdfunding!G896="successful","successful","")</f>
        <v>successful</v>
      </c>
      <c r="B896">
        <f>IF(Crowdfunding!G896="successful",Crowdfunding!H896,0)</f>
        <v>56</v>
      </c>
      <c r="C896" t="str">
        <f>IF(Crowdfunding!G896="failed","failed","")</f>
        <v/>
      </c>
      <c r="D896">
        <f>IF(Crowdfunding!G896="failed",Crowdfunding!H896,0)</f>
        <v>0</v>
      </c>
    </row>
    <row r="897" spans="1:4" x14ac:dyDescent="0.25">
      <c r="A897" t="str">
        <f>IF(Crowdfunding!G897="successful","successful","")</f>
        <v/>
      </c>
      <c r="B897">
        <f>IF(Crowdfunding!G897="successful",Crowdfunding!H897,0)</f>
        <v>0</v>
      </c>
      <c r="C897" t="str">
        <f>IF(Crowdfunding!G897="failed","failed","")</f>
        <v>failed</v>
      </c>
      <c r="D897">
        <f>IF(Crowdfunding!G897="failed",Crowdfunding!H897,0)</f>
        <v>107</v>
      </c>
    </row>
    <row r="898" spans="1:4" x14ac:dyDescent="0.25">
      <c r="A898" t="str">
        <f>IF(Crowdfunding!G898="successful","successful","")</f>
        <v>successful</v>
      </c>
      <c r="B898">
        <f>IF(Crowdfunding!G898="successful",Crowdfunding!H898,0)</f>
        <v>1460</v>
      </c>
      <c r="C898" t="str">
        <f>IF(Crowdfunding!G898="failed","failed","")</f>
        <v/>
      </c>
      <c r="D898">
        <f>IF(Crowdfunding!G898="failed",Crowdfunding!H898,0)</f>
        <v>0</v>
      </c>
    </row>
    <row r="899" spans="1:4" x14ac:dyDescent="0.25">
      <c r="A899" t="str">
        <f>IF(Crowdfunding!G899="successful","successful","")</f>
        <v/>
      </c>
      <c r="B899">
        <f>IF(Crowdfunding!G899="successful",Crowdfunding!H899,0)</f>
        <v>0</v>
      </c>
      <c r="C899" t="str">
        <f>IF(Crowdfunding!G899="failed","failed","")</f>
        <v>failed</v>
      </c>
      <c r="D899">
        <f>IF(Crowdfunding!G899="failed",Crowdfunding!H899,0)</f>
        <v>27</v>
      </c>
    </row>
    <row r="900" spans="1:4" x14ac:dyDescent="0.25">
      <c r="A900" t="str">
        <f>IF(Crowdfunding!G900="successful","successful","")</f>
        <v/>
      </c>
      <c r="B900">
        <f>IF(Crowdfunding!G900="successful",Crowdfunding!H900,0)</f>
        <v>0</v>
      </c>
      <c r="C900" t="str">
        <f>IF(Crowdfunding!G900="failed","failed","")</f>
        <v>failed</v>
      </c>
      <c r="D900">
        <f>IF(Crowdfunding!G900="failed",Crowdfunding!H900,0)</f>
        <v>1221</v>
      </c>
    </row>
    <row r="901" spans="1:4" x14ac:dyDescent="0.25">
      <c r="A901" t="str">
        <f>IF(Crowdfunding!G901="successful","successful","")</f>
        <v>successful</v>
      </c>
      <c r="B901">
        <f>IF(Crowdfunding!G901="successful",Crowdfunding!H901,0)</f>
        <v>123</v>
      </c>
      <c r="C901" t="str">
        <f>IF(Crowdfunding!G901="failed","failed","")</f>
        <v/>
      </c>
      <c r="D901">
        <f>IF(Crowdfunding!G901="failed",Crowdfunding!H901,0)</f>
        <v>0</v>
      </c>
    </row>
    <row r="902" spans="1:4" x14ac:dyDescent="0.25">
      <c r="A902" t="str">
        <f>IF(Crowdfunding!G902="successful","successful","")</f>
        <v/>
      </c>
      <c r="B902">
        <f>IF(Crowdfunding!G902="successful",Crowdfunding!H902,0)</f>
        <v>0</v>
      </c>
      <c r="C902" t="str">
        <f>IF(Crowdfunding!G902="failed","failed","")</f>
        <v>failed</v>
      </c>
      <c r="D902">
        <f>IF(Crowdfunding!G902="failed",Crowdfunding!H902,0)</f>
        <v>1</v>
      </c>
    </row>
    <row r="903" spans="1:4" x14ac:dyDescent="0.25">
      <c r="A903" t="str">
        <f>IF(Crowdfunding!G903="successful","successful","")</f>
        <v>successful</v>
      </c>
      <c r="B903">
        <f>IF(Crowdfunding!G903="successful",Crowdfunding!H903,0)</f>
        <v>159</v>
      </c>
      <c r="C903" t="str">
        <f>IF(Crowdfunding!G903="failed","failed","")</f>
        <v/>
      </c>
      <c r="D903">
        <f>IF(Crowdfunding!G903="failed",Crowdfunding!H903,0)</f>
        <v>0</v>
      </c>
    </row>
    <row r="904" spans="1:4" x14ac:dyDescent="0.25">
      <c r="A904" t="str">
        <f>IF(Crowdfunding!G904="successful","successful","")</f>
        <v>successful</v>
      </c>
      <c r="B904">
        <f>IF(Crowdfunding!G904="successful",Crowdfunding!H904,0)</f>
        <v>110</v>
      </c>
      <c r="C904" t="str">
        <f>IF(Crowdfunding!G904="failed","failed","")</f>
        <v/>
      </c>
      <c r="D904">
        <f>IF(Crowdfunding!G904="failed",Crowdfunding!H904,0)</f>
        <v>0</v>
      </c>
    </row>
    <row r="905" spans="1:4" x14ac:dyDescent="0.25">
      <c r="A905" t="str">
        <f>IF(Crowdfunding!G905="successful","successful","")</f>
        <v/>
      </c>
      <c r="B905">
        <f>IF(Crowdfunding!G905="successful",Crowdfunding!H905,0)</f>
        <v>0</v>
      </c>
      <c r="C905" t="str">
        <f>IF(Crowdfunding!G905="failed","failed","")</f>
        <v/>
      </c>
      <c r="D905">
        <f>IF(Crowdfunding!G905="failed",Crowdfunding!H905,0)</f>
        <v>0</v>
      </c>
    </row>
    <row r="906" spans="1:4" x14ac:dyDescent="0.25">
      <c r="A906" t="str">
        <f>IF(Crowdfunding!G906="successful","successful","")</f>
        <v/>
      </c>
      <c r="B906">
        <f>IF(Crowdfunding!G906="successful",Crowdfunding!H906,0)</f>
        <v>0</v>
      </c>
      <c r="C906" t="str">
        <f>IF(Crowdfunding!G906="failed","failed","")</f>
        <v>failed</v>
      </c>
      <c r="D906">
        <f>IF(Crowdfunding!G906="failed",Crowdfunding!H906,0)</f>
        <v>16</v>
      </c>
    </row>
    <row r="907" spans="1:4" x14ac:dyDescent="0.25">
      <c r="A907" t="str">
        <f>IF(Crowdfunding!G907="successful","successful","")</f>
        <v>successful</v>
      </c>
      <c r="B907">
        <f>IF(Crowdfunding!G907="successful",Crowdfunding!H907,0)</f>
        <v>236</v>
      </c>
      <c r="C907" t="str">
        <f>IF(Crowdfunding!G907="failed","failed","")</f>
        <v/>
      </c>
      <c r="D907">
        <f>IF(Crowdfunding!G907="failed",Crowdfunding!H907,0)</f>
        <v>0</v>
      </c>
    </row>
    <row r="908" spans="1:4" x14ac:dyDescent="0.25">
      <c r="A908" t="str">
        <f>IF(Crowdfunding!G908="successful","successful","")</f>
        <v>successful</v>
      </c>
      <c r="B908">
        <f>IF(Crowdfunding!G908="successful",Crowdfunding!H908,0)</f>
        <v>191</v>
      </c>
      <c r="C908" t="str">
        <f>IF(Crowdfunding!G908="failed","failed","")</f>
        <v/>
      </c>
      <c r="D908">
        <f>IF(Crowdfunding!G908="failed",Crowdfunding!H908,0)</f>
        <v>0</v>
      </c>
    </row>
    <row r="909" spans="1:4" x14ac:dyDescent="0.25">
      <c r="A909" t="str">
        <f>IF(Crowdfunding!G909="successful","successful","")</f>
        <v/>
      </c>
      <c r="B909">
        <f>IF(Crowdfunding!G909="successful",Crowdfunding!H909,0)</f>
        <v>0</v>
      </c>
      <c r="C909" t="str">
        <f>IF(Crowdfunding!G909="failed","failed","")</f>
        <v>failed</v>
      </c>
      <c r="D909">
        <f>IF(Crowdfunding!G909="failed",Crowdfunding!H909,0)</f>
        <v>41</v>
      </c>
    </row>
    <row r="910" spans="1:4" x14ac:dyDescent="0.25">
      <c r="A910" t="str">
        <f>IF(Crowdfunding!G910="successful","successful","")</f>
        <v>successful</v>
      </c>
      <c r="B910">
        <f>IF(Crowdfunding!G910="successful",Crowdfunding!H910,0)</f>
        <v>3934</v>
      </c>
      <c r="C910" t="str">
        <f>IF(Crowdfunding!G910="failed","failed","")</f>
        <v/>
      </c>
      <c r="D910">
        <f>IF(Crowdfunding!G910="failed",Crowdfunding!H910,0)</f>
        <v>0</v>
      </c>
    </row>
    <row r="911" spans="1:4" x14ac:dyDescent="0.25">
      <c r="A911" t="str">
        <f>IF(Crowdfunding!G911="successful","successful","")</f>
        <v>successful</v>
      </c>
      <c r="B911">
        <f>IF(Crowdfunding!G911="successful",Crowdfunding!H911,0)</f>
        <v>80</v>
      </c>
      <c r="C911" t="str">
        <f>IF(Crowdfunding!G911="failed","failed","")</f>
        <v/>
      </c>
      <c r="D911">
        <f>IF(Crowdfunding!G911="failed",Crowdfunding!H911,0)</f>
        <v>0</v>
      </c>
    </row>
    <row r="912" spans="1:4" x14ac:dyDescent="0.25">
      <c r="A912" t="str">
        <f>IF(Crowdfunding!G912="successful","successful","")</f>
        <v/>
      </c>
      <c r="B912">
        <f>IF(Crowdfunding!G912="successful",Crowdfunding!H912,0)</f>
        <v>0</v>
      </c>
      <c r="C912" t="str">
        <f>IF(Crowdfunding!G912="failed","failed","")</f>
        <v/>
      </c>
      <c r="D912">
        <f>IF(Crowdfunding!G912="failed",Crowdfunding!H912,0)</f>
        <v>0</v>
      </c>
    </row>
    <row r="913" spans="1:4" x14ac:dyDescent="0.25">
      <c r="A913" t="str">
        <f>IF(Crowdfunding!G913="successful","successful","")</f>
        <v>successful</v>
      </c>
      <c r="B913">
        <f>IF(Crowdfunding!G913="successful",Crowdfunding!H913,0)</f>
        <v>462</v>
      </c>
      <c r="C913" t="str">
        <f>IF(Crowdfunding!G913="failed","failed","")</f>
        <v/>
      </c>
      <c r="D913">
        <f>IF(Crowdfunding!G913="failed",Crowdfunding!H913,0)</f>
        <v>0</v>
      </c>
    </row>
    <row r="914" spans="1:4" x14ac:dyDescent="0.25">
      <c r="A914" t="str">
        <f>IF(Crowdfunding!G914="successful","successful","")</f>
        <v>successful</v>
      </c>
      <c r="B914">
        <f>IF(Crowdfunding!G914="successful",Crowdfunding!H914,0)</f>
        <v>179</v>
      </c>
      <c r="C914" t="str">
        <f>IF(Crowdfunding!G914="failed","failed","")</f>
        <v/>
      </c>
      <c r="D914">
        <f>IF(Crowdfunding!G914="failed",Crowdfunding!H914,0)</f>
        <v>0</v>
      </c>
    </row>
    <row r="915" spans="1:4" x14ac:dyDescent="0.25">
      <c r="A915" t="str">
        <f>IF(Crowdfunding!G915="successful","successful","")</f>
        <v/>
      </c>
      <c r="B915">
        <f>IF(Crowdfunding!G915="successful",Crowdfunding!H915,0)</f>
        <v>0</v>
      </c>
      <c r="C915" t="str">
        <f>IF(Crowdfunding!G915="failed","failed","")</f>
        <v>failed</v>
      </c>
      <c r="D915">
        <f>IF(Crowdfunding!G915="failed",Crowdfunding!H915,0)</f>
        <v>523</v>
      </c>
    </row>
    <row r="916" spans="1:4" x14ac:dyDescent="0.25">
      <c r="A916" t="str">
        <f>IF(Crowdfunding!G916="successful","successful","")</f>
        <v/>
      </c>
      <c r="B916">
        <f>IF(Crowdfunding!G916="successful",Crowdfunding!H916,0)</f>
        <v>0</v>
      </c>
      <c r="C916" t="str">
        <f>IF(Crowdfunding!G916="failed","failed","")</f>
        <v>failed</v>
      </c>
      <c r="D916">
        <f>IF(Crowdfunding!G916="failed",Crowdfunding!H916,0)</f>
        <v>141</v>
      </c>
    </row>
    <row r="917" spans="1:4" x14ac:dyDescent="0.25">
      <c r="A917" t="str">
        <f>IF(Crowdfunding!G917="successful","successful","")</f>
        <v>successful</v>
      </c>
      <c r="B917">
        <f>IF(Crowdfunding!G917="successful",Crowdfunding!H917,0)</f>
        <v>1866</v>
      </c>
      <c r="C917" t="str">
        <f>IF(Crowdfunding!G917="failed","failed","")</f>
        <v/>
      </c>
      <c r="D917">
        <f>IF(Crowdfunding!G917="failed",Crowdfunding!H917,0)</f>
        <v>0</v>
      </c>
    </row>
    <row r="918" spans="1:4" x14ac:dyDescent="0.25">
      <c r="A918" t="str">
        <f>IF(Crowdfunding!G918="successful","successful","")</f>
        <v/>
      </c>
      <c r="B918">
        <f>IF(Crowdfunding!G918="successful",Crowdfunding!H918,0)</f>
        <v>0</v>
      </c>
      <c r="C918" t="str">
        <f>IF(Crowdfunding!G918="failed","failed","")</f>
        <v>failed</v>
      </c>
      <c r="D918">
        <f>IF(Crowdfunding!G918="failed",Crowdfunding!H918,0)</f>
        <v>52</v>
      </c>
    </row>
    <row r="919" spans="1:4" x14ac:dyDescent="0.25">
      <c r="A919" t="str">
        <f>IF(Crowdfunding!G919="successful","successful","")</f>
        <v/>
      </c>
      <c r="B919">
        <f>IF(Crowdfunding!G919="successful",Crowdfunding!H919,0)</f>
        <v>0</v>
      </c>
      <c r="C919" t="str">
        <f>IF(Crowdfunding!G919="failed","failed","")</f>
        <v/>
      </c>
      <c r="D919">
        <f>IF(Crowdfunding!G919="failed",Crowdfunding!H919,0)</f>
        <v>0</v>
      </c>
    </row>
    <row r="920" spans="1:4" x14ac:dyDescent="0.25">
      <c r="A920" t="str">
        <f>IF(Crowdfunding!G920="successful","successful","")</f>
        <v>successful</v>
      </c>
      <c r="B920">
        <f>IF(Crowdfunding!G920="successful",Crowdfunding!H920,0)</f>
        <v>156</v>
      </c>
      <c r="C920" t="str">
        <f>IF(Crowdfunding!G920="failed","failed","")</f>
        <v/>
      </c>
      <c r="D920">
        <f>IF(Crowdfunding!G920="failed",Crowdfunding!H920,0)</f>
        <v>0</v>
      </c>
    </row>
    <row r="921" spans="1:4" x14ac:dyDescent="0.25">
      <c r="A921" t="str">
        <f>IF(Crowdfunding!G921="successful","successful","")</f>
        <v/>
      </c>
      <c r="B921">
        <f>IF(Crowdfunding!G921="successful",Crowdfunding!H921,0)</f>
        <v>0</v>
      </c>
      <c r="C921" t="str">
        <f>IF(Crowdfunding!G921="failed","failed","")</f>
        <v>failed</v>
      </c>
      <c r="D921">
        <f>IF(Crowdfunding!G921="failed",Crowdfunding!H921,0)</f>
        <v>225</v>
      </c>
    </row>
    <row r="922" spans="1:4" x14ac:dyDescent="0.25">
      <c r="A922" t="str">
        <f>IF(Crowdfunding!G922="successful","successful","")</f>
        <v>successful</v>
      </c>
      <c r="B922">
        <f>IF(Crowdfunding!G922="successful",Crowdfunding!H922,0)</f>
        <v>255</v>
      </c>
      <c r="C922" t="str">
        <f>IF(Crowdfunding!G922="failed","failed","")</f>
        <v/>
      </c>
      <c r="D922">
        <f>IF(Crowdfunding!G922="failed",Crowdfunding!H922,0)</f>
        <v>0</v>
      </c>
    </row>
    <row r="923" spans="1:4" x14ac:dyDescent="0.25">
      <c r="A923" t="str">
        <f>IF(Crowdfunding!G923="successful","successful","")</f>
        <v/>
      </c>
      <c r="B923">
        <f>IF(Crowdfunding!G923="successful",Crowdfunding!H923,0)</f>
        <v>0</v>
      </c>
      <c r="C923" t="str">
        <f>IF(Crowdfunding!G923="failed","failed","")</f>
        <v>failed</v>
      </c>
      <c r="D923">
        <f>IF(Crowdfunding!G923="failed",Crowdfunding!H923,0)</f>
        <v>38</v>
      </c>
    </row>
    <row r="924" spans="1:4" x14ac:dyDescent="0.25">
      <c r="A924" t="str">
        <f>IF(Crowdfunding!G924="successful","successful","")</f>
        <v>successful</v>
      </c>
      <c r="B924">
        <f>IF(Crowdfunding!G924="successful",Crowdfunding!H924,0)</f>
        <v>2261</v>
      </c>
      <c r="C924" t="str">
        <f>IF(Crowdfunding!G924="failed","failed","")</f>
        <v/>
      </c>
      <c r="D924">
        <f>IF(Crowdfunding!G924="failed",Crowdfunding!H924,0)</f>
        <v>0</v>
      </c>
    </row>
    <row r="925" spans="1:4" x14ac:dyDescent="0.25">
      <c r="A925" t="str">
        <f>IF(Crowdfunding!G925="successful","successful","")</f>
        <v>successful</v>
      </c>
      <c r="B925">
        <f>IF(Crowdfunding!G925="successful",Crowdfunding!H925,0)</f>
        <v>40</v>
      </c>
      <c r="C925" t="str">
        <f>IF(Crowdfunding!G925="failed","failed","")</f>
        <v/>
      </c>
      <c r="D925">
        <f>IF(Crowdfunding!G925="failed",Crowdfunding!H925,0)</f>
        <v>0</v>
      </c>
    </row>
    <row r="926" spans="1:4" x14ac:dyDescent="0.25">
      <c r="A926" t="str">
        <f>IF(Crowdfunding!G926="successful","successful","")</f>
        <v>successful</v>
      </c>
      <c r="B926">
        <f>IF(Crowdfunding!G926="successful",Crowdfunding!H926,0)</f>
        <v>2289</v>
      </c>
      <c r="C926" t="str">
        <f>IF(Crowdfunding!G926="failed","failed","")</f>
        <v/>
      </c>
      <c r="D926">
        <f>IF(Crowdfunding!G926="failed",Crowdfunding!H926,0)</f>
        <v>0</v>
      </c>
    </row>
    <row r="927" spans="1:4" x14ac:dyDescent="0.25">
      <c r="A927" t="str">
        <f>IF(Crowdfunding!G927="successful","successful","")</f>
        <v>successful</v>
      </c>
      <c r="B927">
        <f>IF(Crowdfunding!G927="successful",Crowdfunding!H927,0)</f>
        <v>65</v>
      </c>
      <c r="C927" t="str">
        <f>IF(Crowdfunding!G927="failed","failed","")</f>
        <v/>
      </c>
      <c r="D927">
        <f>IF(Crowdfunding!G927="failed",Crowdfunding!H927,0)</f>
        <v>0</v>
      </c>
    </row>
    <row r="928" spans="1:4" x14ac:dyDescent="0.25">
      <c r="A928" t="str">
        <f>IF(Crowdfunding!G928="successful","successful","")</f>
        <v/>
      </c>
      <c r="B928">
        <f>IF(Crowdfunding!G928="successful",Crowdfunding!H928,0)</f>
        <v>0</v>
      </c>
      <c r="C928" t="str">
        <f>IF(Crowdfunding!G928="failed","failed","")</f>
        <v>failed</v>
      </c>
      <c r="D928">
        <f>IF(Crowdfunding!G928="failed",Crowdfunding!H928,0)</f>
        <v>15</v>
      </c>
    </row>
    <row r="929" spans="1:4" x14ac:dyDescent="0.25">
      <c r="A929" t="str">
        <f>IF(Crowdfunding!G929="successful","successful","")</f>
        <v/>
      </c>
      <c r="B929">
        <f>IF(Crowdfunding!G929="successful",Crowdfunding!H929,0)</f>
        <v>0</v>
      </c>
      <c r="C929" t="str">
        <f>IF(Crowdfunding!G929="failed","failed","")</f>
        <v>failed</v>
      </c>
      <c r="D929">
        <f>IF(Crowdfunding!G929="failed",Crowdfunding!H929,0)</f>
        <v>37</v>
      </c>
    </row>
    <row r="930" spans="1:4" x14ac:dyDescent="0.25">
      <c r="A930" t="str">
        <f>IF(Crowdfunding!G930="successful","successful","")</f>
        <v>successful</v>
      </c>
      <c r="B930">
        <f>IF(Crowdfunding!G930="successful",Crowdfunding!H930,0)</f>
        <v>3777</v>
      </c>
      <c r="C930" t="str">
        <f>IF(Crowdfunding!G930="failed","failed","")</f>
        <v/>
      </c>
      <c r="D930">
        <f>IF(Crowdfunding!G930="failed",Crowdfunding!H930,0)</f>
        <v>0</v>
      </c>
    </row>
    <row r="931" spans="1:4" x14ac:dyDescent="0.25">
      <c r="A931" t="str">
        <f>IF(Crowdfunding!G931="successful","successful","")</f>
        <v>successful</v>
      </c>
      <c r="B931">
        <f>IF(Crowdfunding!G931="successful",Crowdfunding!H931,0)</f>
        <v>184</v>
      </c>
      <c r="C931" t="str">
        <f>IF(Crowdfunding!G931="failed","failed","")</f>
        <v/>
      </c>
      <c r="D931">
        <f>IF(Crowdfunding!G931="failed",Crowdfunding!H931,0)</f>
        <v>0</v>
      </c>
    </row>
    <row r="932" spans="1:4" x14ac:dyDescent="0.25">
      <c r="A932" t="str">
        <f>IF(Crowdfunding!G932="successful","successful","")</f>
        <v>successful</v>
      </c>
      <c r="B932">
        <f>IF(Crowdfunding!G932="successful",Crowdfunding!H932,0)</f>
        <v>85</v>
      </c>
      <c r="C932" t="str">
        <f>IF(Crowdfunding!G932="failed","failed","")</f>
        <v/>
      </c>
      <c r="D932">
        <f>IF(Crowdfunding!G932="failed",Crowdfunding!H932,0)</f>
        <v>0</v>
      </c>
    </row>
    <row r="933" spans="1:4" x14ac:dyDescent="0.25">
      <c r="A933" t="str">
        <f>IF(Crowdfunding!G933="successful","successful","")</f>
        <v/>
      </c>
      <c r="B933">
        <f>IF(Crowdfunding!G933="successful",Crowdfunding!H933,0)</f>
        <v>0</v>
      </c>
      <c r="C933" t="str">
        <f>IF(Crowdfunding!G933="failed","failed","")</f>
        <v>failed</v>
      </c>
      <c r="D933">
        <f>IF(Crowdfunding!G933="failed",Crowdfunding!H933,0)</f>
        <v>112</v>
      </c>
    </row>
    <row r="934" spans="1:4" x14ac:dyDescent="0.25">
      <c r="A934" t="str">
        <f>IF(Crowdfunding!G934="successful","successful","")</f>
        <v>successful</v>
      </c>
      <c r="B934">
        <f>IF(Crowdfunding!G934="successful",Crowdfunding!H934,0)</f>
        <v>144</v>
      </c>
      <c r="C934" t="str">
        <f>IF(Crowdfunding!G934="failed","failed","")</f>
        <v/>
      </c>
      <c r="D934">
        <f>IF(Crowdfunding!G934="failed",Crowdfunding!H934,0)</f>
        <v>0</v>
      </c>
    </row>
    <row r="935" spans="1:4" x14ac:dyDescent="0.25">
      <c r="A935" t="str">
        <f>IF(Crowdfunding!G935="successful","successful","")</f>
        <v>successful</v>
      </c>
      <c r="B935">
        <f>IF(Crowdfunding!G935="successful",Crowdfunding!H935,0)</f>
        <v>1902</v>
      </c>
      <c r="C935" t="str">
        <f>IF(Crowdfunding!G935="failed","failed","")</f>
        <v/>
      </c>
      <c r="D935">
        <f>IF(Crowdfunding!G935="failed",Crowdfunding!H935,0)</f>
        <v>0</v>
      </c>
    </row>
    <row r="936" spans="1:4" x14ac:dyDescent="0.25">
      <c r="A936" t="str">
        <f>IF(Crowdfunding!G936="successful","successful","")</f>
        <v>successful</v>
      </c>
      <c r="B936">
        <f>IF(Crowdfunding!G936="successful",Crowdfunding!H936,0)</f>
        <v>105</v>
      </c>
      <c r="C936" t="str">
        <f>IF(Crowdfunding!G936="failed","failed","")</f>
        <v/>
      </c>
      <c r="D936">
        <f>IF(Crowdfunding!G936="failed",Crowdfunding!H936,0)</f>
        <v>0</v>
      </c>
    </row>
    <row r="937" spans="1:4" x14ac:dyDescent="0.25">
      <c r="A937" t="str">
        <f>IF(Crowdfunding!G937="successful","successful","")</f>
        <v>successful</v>
      </c>
      <c r="B937">
        <f>IF(Crowdfunding!G937="successful",Crowdfunding!H937,0)</f>
        <v>132</v>
      </c>
      <c r="C937" t="str">
        <f>IF(Crowdfunding!G937="failed","failed","")</f>
        <v/>
      </c>
      <c r="D937">
        <f>IF(Crowdfunding!G937="failed",Crowdfunding!H937,0)</f>
        <v>0</v>
      </c>
    </row>
    <row r="938" spans="1:4" x14ac:dyDescent="0.25">
      <c r="A938" t="str">
        <f>IF(Crowdfunding!G938="successful","successful","")</f>
        <v/>
      </c>
      <c r="B938">
        <f>IF(Crowdfunding!G938="successful",Crowdfunding!H938,0)</f>
        <v>0</v>
      </c>
      <c r="C938" t="str">
        <f>IF(Crowdfunding!G938="failed","failed","")</f>
        <v>failed</v>
      </c>
      <c r="D938">
        <f>IF(Crowdfunding!G938="failed",Crowdfunding!H938,0)</f>
        <v>21</v>
      </c>
    </row>
    <row r="939" spans="1:4" x14ac:dyDescent="0.25">
      <c r="A939" t="str">
        <f>IF(Crowdfunding!G939="successful","successful","")</f>
        <v/>
      </c>
      <c r="B939">
        <f>IF(Crowdfunding!G939="successful",Crowdfunding!H939,0)</f>
        <v>0</v>
      </c>
      <c r="C939" t="str">
        <f>IF(Crowdfunding!G939="failed","failed","")</f>
        <v/>
      </c>
      <c r="D939">
        <f>IF(Crowdfunding!G939="failed",Crowdfunding!H939,0)</f>
        <v>0</v>
      </c>
    </row>
    <row r="940" spans="1:4" x14ac:dyDescent="0.25">
      <c r="A940" t="str">
        <f>IF(Crowdfunding!G940="successful","successful","")</f>
        <v>successful</v>
      </c>
      <c r="B940">
        <f>IF(Crowdfunding!G940="successful",Crowdfunding!H940,0)</f>
        <v>96</v>
      </c>
      <c r="C940" t="str">
        <f>IF(Crowdfunding!G940="failed","failed","")</f>
        <v/>
      </c>
      <c r="D940">
        <f>IF(Crowdfunding!G940="failed",Crowdfunding!H940,0)</f>
        <v>0</v>
      </c>
    </row>
    <row r="941" spans="1:4" x14ac:dyDescent="0.25">
      <c r="A941" t="str">
        <f>IF(Crowdfunding!G941="successful","successful","")</f>
        <v/>
      </c>
      <c r="B941">
        <f>IF(Crowdfunding!G941="successful",Crowdfunding!H941,0)</f>
        <v>0</v>
      </c>
      <c r="C941" t="str">
        <f>IF(Crowdfunding!G941="failed","failed","")</f>
        <v>failed</v>
      </c>
      <c r="D941">
        <f>IF(Crowdfunding!G941="failed",Crowdfunding!H941,0)</f>
        <v>67</v>
      </c>
    </row>
    <row r="942" spans="1:4" x14ac:dyDescent="0.25">
      <c r="A942" t="str">
        <f>IF(Crowdfunding!G942="successful","successful","")</f>
        <v/>
      </c>
      <c r="B942">
        <f>IF(Crowdfunding!G942="successful",Crowdfunding!H942,0)</f>
        <v>0</v>
      </c>
      <c r="C942" t="str">
        <f>IF(Crowdfunding!G942="failed","failed","")</f>
        <v/>
      </c>
      <c r="D942">
        <f>IF(Crowdfunding!G942="failed",Crowdfunding!H942,0)</f>
        <v>0</v>
      </c>
    </row>
    <row r="943" spans="1:4" x14ac:dyDescent="0.25">
      <c r="A943" t="str">
        <f>IF(Crowdfunding!G943="successful","successful","")</f>
        <v/>
      </c>
      <c r="B943">
        <f>IF(Crowdfunding!G943="successful",Crowdfunding!H943,0)</f>
        <v>0</v>
      </c>
      <c r="C943" t="str">
        <f>IF(Crowdfunding!G943="failed","failed","")</f>
        <v>failed</v>
      </c>
      <c r="D943">
        <f>IF(Crowdfunding!G943="failed",Crowdfunding!H943,0)</f>
        <v>78</v>
      </c>
    </row>
    <row r="944" spans="1:4" x14ac:dyDescent="0.25">
      <c r="A944" t="str">
        <f>IF(Crowdfunding!G944="successful","successful","")</f>
        <v/>
      </c>
      <c r="B944">
        <f>IF(Crowdfunding!G944="successful",Crowdfunding!H944,0)</f>
        <v>0</v>
      </c>
      <c r="C944" t="str">
        <f>IF(Crowdfunding!G944="failed","failed","")</f>
        <v>failed</v>
      </c>
      <c r="D944">
        <f>IF(Crowdfunding!G944="failed",Crowdfunding!H944,0)</f>
        <v>67</v>
      </c>
    </row>
    <row r="945" spans="1:4" x14ac:dyDescent="0.25">
      <c r="A945" t="str">
        <f>IF(Crowdfunding!G945="successful","successful","")</f>
        <v>successful</v>
      </c>
      <c r="B945">
        <f>IF(Crowdfunding!G945="successful",Crowdfunding!H945,0)</f>
        <v>114</v>
      </c>
      <c r="C945" t="str">
        <f>IF(Crowdfunding!G945="failed","failed","")</f>
        <v/>
      </c>
      <c r="D945">
        <f>IF(Crowdfunding!G945="failed",Crowdfunding!H945,0)</f>
        <v>0</v>
      </c>
    </row>
    <row r="946" spans="1:4" x14ac:dyDescent="0.25">
      <c r="A946" t="str">
        <f>IF(Crowdfunding!G946="successful","successful","")</f>
        <v/>
      </c>
      <c r="B946">
        <f>IF(Crowdfunding!G946="successful",Crowdfunding!H946,0)</f>
        <v>0</v>
      </c>
      <c r="C946" t="str">
        <f>IF(Crowdfunding!G946="failed","failed","")</f>
        <v>failed</v>
      </c>
      <c r="D946">
        <f>IF(Crowdfunding!G946="failed",Crowdfunding!H946,0)</f>
        <v>263</v>
      </c>
    </row>
    <row r="947" spans="1:4" x14ac:dyDescent="0.25">
      <c r="A947" t="str">
        <f>IF(Crowdfunding!G947="successful","successful","")</f>
        <v/>
      </c>
      <c r="B947">
        <f>IF(Crowdfunding!G947="successful",Crowdfunding!H947,0)</f>
        <v>0</v>
      </c>
      <c r="C947" t="str">
        <f>IF(Crowdfunding!G947="failed","failed","")</f>
        <v>failed</v>
      </c>
      <c r="D947">
        <f>IF(Crowdfunding!G947="failed",Crowdfunding!H947,0)</f>
        <v>1691</v>
      </c>
    </row>
    <row r="948" spans="1:4" x14ac:dyDescent="0.25">
      <c r="A948" t="str">
        <f>IF(Crowdfunding!G948="successful","successful","")</f>
        <v/>
      </c>
      <c r="B948">
        <f>IF(Crowdfunding!G948="successful",Crowdfunding!H948,0)</f>
        <v>0</v>
      </c>
      <c r="C948" t="str">
        <f>IF(Crowdfunding!G948="failed","failed","")</f>
        <v>failed</v>
      </c>
      <c r="D948">
        <f>IF(Crowdfunding!G948="failed",Crowdfunding!H948,0)</f>
        <v>181</v>
      </c>
    </row>
    <row r="949" spans="1:4" x14ac:dyDescent="0.25">
      <c r="A949" t="str">
        <f>IF(Crowdfunding!G949="successful","successful","")</f>
        <v/>
      </c>
      <c r="B949">
        <f>IF(Crowdfunding!G949="successful",Crowdfunding!H949,0)</f>
        <v>0</v>
      </c>
      <c r="C949" t="str">
        <f>IF(Crowdfunding!G949="failed","failed","")</f>
        <v>failed</v>
      </c>
      <c r="D949">
        <f>IF(Crowdfunding!G949="failed",Crowdfunding!H949,0)</f>
        <v>13</v>
      </c>
    </row>
    <row r="950" spans="1:4" x14ac:dyDescent="0.25">
      <c r="A950" t="str">
        <f>IF(Crowdfunding!G950="successful","successful","")</f>
        <v/>
      </c>
      <c r="B950">
        <f>IF(Crowdfunding!G950="successful",Crowdfunding!H950,0)</f>
        <v>0</v>
      </c>
      <c r="C950" t="str">
        <f>IF(Crowdfunding!G950="failed","failed","")</f>
        <v/>
      </c>
      <c r="D950">
        <f>IF(Crowdfunding!G950="failed",Crowdfunding!H950,0)</f>
        <v>0</v>
      </c>
    </row>
    <row r="951" spans="1:4" x14ac:dyDescent="0.25">
      <c r="A951" t="str">
        <f>IF(Crowdfunding!G951="successful","successful","")</f>
        <v>successful</v>
      </c>
      <c r="B951">
        <f>IF(Crowdfunding!G951="successful",Crowdfunding!H951,0)</f>
        <v>203</v>
      </c>
      <c r="C951" t="str">
        <f>IF(Crowdfunding!G951="failed","failed","")</f>
        <v/>
      </c>
      <c r="D951">
        <f>IF(Crowdfunding!G951="failed",Crowdfunding!H951,0)</f>
        <v>0</v>
      </c>
    </row>
    <row r="952" spans="1:4" x14ac:dyDescent="0.25">
      <c r="A952" t="str">
        <f>IF(Crowdfunding!G952="successful","successful","")</f>
        <v/>
      </c>
      <c r="B952">
        <f>IF(Crowdfunding!G952="successful",Crowdfunding!H952,0)</f>
        <v>0</v>
      </c>
      <c r="C952" t="str">
        <f>IF(Crowdfunding!G952="failed","failed","")</f>
        <v>failed</v>
      </c>
      <c r="D952">
        <f>IF(Crowdfunding!G952="failed",Crowdfunding!H952,0)</f>
        <v>1</v>
      </c>
    </row>
    <row r="953" spans="1:4" x14ac:dyDescent="0.25">
      <c r="A953" t="str">
        <f>IF(Crowdfunding!G953="successful","successful","")</f>
        <v>successful</v>
      </c>
      <c r="B953">
        <f>IF(Crowdfunding!G953="successful",Crowdfunding!H953,0)</f>
        <v>1559</v>
      </c>
      <c r="C953" t="str">
        <f>IF(Crowdfunding!G953="failed","failed","")</f>
        <v/>
      </c>
      <c r="D953">
        <f>IF(Crowdfunding!G953="failed",Crowdfunding!H953,0)</f>
        <v>0</v>
      </c>
    </row>
    <row r="954" spans="1:4" x14ac:dyDescent="0.25">
      <c r="A954" t="str">
        <f>IF(Crowdfunding!G954="successful","successful","")</f>
        <v/>
      </c>
      <c r="B954">
        <f>IF(Crowdfunding!G954="successful",Crowdfunding!H954,0)</f>
        <v>0</v>
      </c>
      <c r="C954" t="str">
        <f>IF(Crowdfunding!G954="failed","failed","")</f>
        <v/>
      </c>
      <c r="D954">
        <f>IF(Crowdfunding!G954="failed",Crowdfunding!H954,0)</f>
        <v>0</v>
      </c>
    </row>
    <row r="955" spans="1:4" x14ac:dyDescent="0.25">
      <c r="A955" t="str">
        <f>IF(Crowdfunding!G955="successful","successful","")</f>
        <v/>
      </c>
      <c r="B955">
        <f>IF(Crowdfunding!G955="successful",Crowdfunding!H955,0)</f>
        <v>0</v>
      </c>
      <c r="C955" t="str">
        <f>IF(Crowdfunding!G955="failed","failed","")</f>
        <v>failed</v>
      </c>
      <c r="D955">
        <f>IF(Crowdfunding!G955="failed",Crowdfunding!H955,0)</f>
        <v>21</v>
      </c>
    </row>
    <row r="956" spans="1:4" x14ac:dyDescent="0.25">
      <c r="A956" t="str">
        <f>IF(Crowdfunding!G956="successful","successful","")</f>
        <v>successful</v>
      </c>
      <c r="B956">
        <f>IF(Crowdfunding!G956="successful",Crowdfunding!H956,0)</f>
        <v>1548</v>
      </c>
      <c r="C956" t="str">
        <f>IF(Crowdfunding!G956="failed","failed","")</f>
        <v/>
      </c>
      <c r="D956">
        <f>IF(Crowdfunding!G956="failed",Crowdfunding!H956,0)</f>
        <v>0</v>
      </c>
    </row>
    <row r="957" spans="1:4" x14ac:dyDescent="0.25">
      <c r="A957" t="str">
        <f>IF(Crowdfunding!G957="successful","successful","")</f>
        <v>successful</v>
      </c>
      <c r="B957">
        <f>IF(Crowdfunding!G957="successful",Crowdfunding!H957,0)</f>
        <v>80</v>
      </c>
      <c r="C957" t="str">
        <f>IF(Crowdfunding!G957="failed","failed","")</f>
        <v/>
      </c>
      <c r="D957">
        <f>IF(Crowdfunding!G957="failed",Crowdfunding!H957,0)</f>
        <v>0</v>
      </c>
    </row>
    <row r="958" spans="1:4" x14ac:dyDescent="0.25">
      <c r="A958" t="str">
        <f>IF(Crowdfunding!G958="successful","successful","")</f>
        <v/>
      </c>
      <c r="B958">
        <f>IF(Crowdfunding!G958="successful",Crowdfunding!H958,0)</f>
        <v>0</v>
      </c>
      <c r="C958" t="str">
        <f>IF(Crowdfunding!G958="failed","failed","")</f>
        <v>failed</v>
      </c>
      <c r="D958">
        <f>IF(Crowdfunding!G958="failed",Crowdfunding!H958,0)</f>
        <v>830</v>
      </c>
    </row>
    <row r="959" spans="1:4" x14ac:dyDescent="0.25">
      <c r="A959" t="str">
        <f>IF(Crowdfunding!G959="successful","successful","")</f>
        <v>successful</v>
      </c>
      <c r="B959">
        <f>IF(Crowdfunding!G959="successful",Crowdfunding!H959,0)</f>
        <v>131</v>
      </c>
      <c r="C959" t="str">
        <f>IF(Crowdfunding!G959="failed","failed","")</f>
        <v/>
      </c>
      <c r="D959">
        <f>IF(Crowdfunding!G959="failed",Crowdfunding!H959,0)</f>
        <v>0</v>
      </c>
    </row>
    <row r="960" spans="1:4" x14ac:dyDescent="0.25">
      <c r="A960" t="str">
        <f>IF(Crowdfunding!G960="successful","successful","")</f>
        <v>successful</v>
      </c>
      <c r="B960">
        <f>IF(Crowdfunding!G960="successful",Crowdfunding!H960,0)</f>
        <v>112</v>
      </c>
      <c r="C960" t="str">
        <f>IF(Crowdfunding!G960="failed","failed","")</f>
        <v/>
      </c>
      <c r="D960">
        <f>IF(Crowdfunding!G960="failed",Crowdfunding!H960,0)</f>
        <v>0</v>
      </c>
    </row>
    <row r="961" spans="1:4" x14ac:dyDescent="0.25">
      <c r="A961" t="str">
        <f>IF(Crowdfunding!G961="successful","successful","")</f>
        <v/>
      </c>
      <c r="B961">
        <f>IF(Crowdfunding!G961="successful",Crowdfunding!H961,0)</f>
        <v>0</v>
      </c>
      <c r="C961" t="str">
        <f>IF(Crowdfunding!G961="failed","failed","")</f>
        <v>failed</v>
      </c>
      <c r="D961">
        <f>IF(Crowdfunding!G961="failed",Crowdfunding!H961,0)</f>
        <v>130</v>
      </c>
    </row>
    <row r="962" spans="1:4" x14ac:dyDescent="0.25">
      <c r="A962" t="str">
        <f>IF(Crowdfunding!G962="successful","successful","")</f>
        <v/>
      </c>
      <c r="B962">
        <f>IF(Crowdfunding!G962="successful",Crowdfunding!H962,0)</f>
        <v>0</v>
      </c>
      <c r="C962" t="str">
        <f>IF(Crowdfunding!G962="failed","failed","")</f>
        <v>failed</v>
      </c>
      <c r="D962">
        <f>IF(Crowdfunding!G962="failed",Crowdfunding!H962,0)</f>
        <v>55</v>
      </c>
    </row>
    <row r="963" spans="1:4" x14ac:dyDescent="0.25">
      <c r="A963" t="str">
        <f>IF(Crowdfunding!G963="successful","successful","")</f>
        <v>successful</v>
      </c>
      <c r="B963">
        <f>IF(Crowdfunding!G963="successful",Crowdfunding!H963,0)</f>
        <v>155</v>
      </c>
      <c r="C963" t="str">
        <f>IF(Crowdfunding!G963="failed","failed","")</f>
        <v/>
      </c>
      <c r="D963">
        <f>IF(Crowdfunding!G963="failed",Crowdfunding!H963,0)</f>
        <v>0</v>
      </c>
    </row>
    <row r="964" spans="1:4" x14ac:dyDescent="0.25">
      <c r="A964" t="str">
        <f>IF(Crowdfunding!G964="successful","successful","")</f>
        <v>successful</v>
      </c>
      <c r="B964">
        <f>IF(Crowdfunding!G964="successful",Crowdfunding!H964,0)</f>
        <v>266</v>
      </c>
      <c r="C964" t="str">
        <f>IF(Crowdfunding!G964="failed","failed","")</f>
        <v/>
      </c>
      <c r="D964">
        <f>IF(Crowdfunding!G964="failed",Crowdfunding!H964,0)</f>
        <v>0</v>
      </c>
    </row>
    <row r="965" spans="1:4" x14ac:dyDescent="0.25">
      <c r="A965" t="str">
        <f>IF(Crowdfunding!G965="successful","successful","")</f>
        <v/>
      </c>
      <c r="B965">
        <f>IF(Crowdfunding!G965="successful",Crowdfunding!H965,0)</f>
        <v>0</v>
      </c>
      <c r="C965" t="str">
        <f>IF(Crowdfunding!G965="failed","failed","")</f>
        <v>failed</v>
      </c>
      <c r="D965">
        <f>IF(Crowdfunding!G965="failed",Crowdfunding!H965,0)</f>
        <v>114</v>
      </c>
    </row>
    <row r="966" spans="1:4" x14ac:dyDescent="0.25">
      <c r="A966" t="str">
        <f>IF(Crowdfunding!G966="successful","successful","")</f>
        <v>successful</v>
      </c>
      <c r="B966">
        <f>IF(Crowdfunding!G966="successful",Crowdfunding!H966,0)</f>
        <v>155</v>
      </c>
      <c r="C966" t="str">
        <f>IF(Crowdfunding!G966="failed","failed","")</f>
        <v/>
      </c>
      <c r="D966">
        <f>IF(Crowdfunding!G966="failed",Crowdfunding!H966,0)</f>
        <v>0</v>
      </c>
    </row>
    <row r="967" spans="1:4" x14ac:dyDescent="0.25">
      <c r="A967" t="str">
        <f>IF(Crowdfunding!G967="successful","successful","")</f>
        <v>successful</v>
      </c>
      <c r="B967">
        <f>IF(Crowdfunding!G967="successful",Crowdfunding!H967,0)</f>
        <v>207</v>
      </c>
      <c r="C967" t="str">
        <f>IF(Crowdfunding!G967="failed","failed","")</f>
        <v/>
      </c>
      <c r="D967">
        <f>IF(Crowdfunding!G967="failed",Crowdfunding!H967,0)</f>
        <v>0</v>
      </c>
    </row>
    <row r="968" spans="1:4" x14ac:dyDescent="0.25">
      <c r="A968" t="str">
        <f>IF(Crowdfunding!G968="successful","successful","")</f>
        <v>successful</v>
      </c>
      <c r="B968">
        <f>IF(Crowdfunding!G968="successful",Crowdfunding!H968,0)</f>
        <v>245</v>
      </c>
      <c r="C968" t="str">
        <f>IF(Crowdfunding!G968="failed","failed","")</f>
        <v/>
      </c>
      <c r="D968">
        <f>IF(Crowdfunding!G968="failed",Crowdfunding!H968,0)</f>
        <v>0</v>
      </c>
    </row>
    <row r="969" spans="1:4" x14ac:dyDescent="0.25">
      <c r="A969" t="str">
        <f>IF(Crowdfunding!G969="successful","successful","")</f>
        <v>successful</v>
      </c>
      <c r="B969">
        <f>IF(Crowdfunding!G969="successful",Crowdfunding!H969,0)</f>
        <v>1573</v>
      </c>
      <c r="C969" t="str">
        <f>IF(Crowdfunding!G969="failed","failed","")</f>
        <v/>
      </c>
      <c r="D969">
        <f>IF(Crowdfunding!G969="failed",Crowdfunding!H969,0)</f>
        <v>0</v>
      </c>
    </row>
    <row r="970" spans="1:4" x14ac:dyDescent="0.25">
      <c r="A970" t="str">
        <f>IF(Crowdfunding!G970="successful","successful","")</f>
        <v>successful</v>
      </c>
      <c r="B970">
        <f>IF(Crowdfunding!G970="successful",Crowdfunding!H970,0)</f>
        <v>114</v>
      </c>
      <c r="C970" t="str">
        <f>IF(Crowdfunding!G970="failed","failed","")</f>
        <v/>
      </c>
      <c r="D970">
        <f>IF(Crowdfunding!G970="failed",Crowdfunding!H970,0)</f>
        <v>0</v>
      </c>
    </row>
    <row r="971" spans="1:4" x14ac:dyDescent="0.25">
      <c r="A971" t="str">
        <f>IF(Crowdfunding!G971="successful","successful","")</f>
        <v>successful</v>
      </c>
      <c r="B971">
        <f>IF(Crowdfunding!G971="successful",Crowdfunding!H971,0)</f>
        <v>93</v>
      </c>
      <c r="C971" t="str">
        <f>IF(Crowdfunding!G971="failed","failed","")</f>
        <v/>
      </c>
      <c r="D971">
        <f>IF(Crowdfunding!G971="failed",Crowdfunding!H971,0)</f>
        <v>0</v>
      </c>
    </row>
    <row r="972" spans="1:4" x14ac:dyDescent="0.25">
      <c r="A972" t="str">
        <f>IF(Crowdfunding!G972="successful","successful","")</f>
        <v/>
      </c>
      <c r="B972">
        <f>IF(Crowdfunding!G972="successful",Crowdfunding!H972,0)</f>
        <v>0</v>
      </c>
      <c r="C972" t="str">
        <f>IF(Crowdfunding!G972="failed","failed","")</f>
        <v>failed</v>
      </c>
      <c r="D972">
        <f>IF(Crowdfunding!G972="failed",Crowdfunding!H972,0)</f>
        <v>594</v>
      </c>
    </row>
    <row r="973" spans="1:4" x14ac:dyDescent="0.25">
      <c r="A973" t="str">
        <f>IF(Crowdfunding!G973="successful","successful","")</f>
        <v/>
      </c>
      <c r="B973">
        <f>IF(Crowdfunding!G973="successful",Crowdfunding!H973,0)</f>
        <v>0</v>
      </c>
      <c r="C973" t="str">
        <f>IF(Crowdfunding!G973="failed","failed","")</f>
        <v>failed</v>
      </c>
      <c r="D973">
        <f>IF(Crowdfunding!G973="failed",Crowdfunding!H973,0)</f>
        <v>24</v>
      </c>
    </row>
    <row r="974" spans="1:4" x14ac:dyDescent="0.25">
      <c r="A974" t="str">
        <f>IF(Crowdfunding!G974="successful","successful","")</f>
        <v>successful</v>
      </c>
      <c r="B974">
        <f>IF(Crowdfunding!G974="successful",Crowdfunding!H974,0)</f>
        <v>1681</v>
      </c>
      <c r="C974" t="str">
        <f>IF(Crowdfunding!G974="failed","failed","")</f>
        <v/>
      </c>
      <c r="D974">
        <f>IF(Crowdfunding!G974="failed",Crowdfunding!H974,0)</f>
        <v>0</v>
      </c>
    </row>
    <row r="975" spans="1:4" x14ac:dyDescent="0.25">
      <c r="A975" t="str">
        <f>IF(Crowdfunding!G975="successful","successful","")</f>
        <v/>
      </c>
      <c r="B975">
        <f>IF(Crowdfunding!G975="successful",Crowdfunding!H975,0)</f>
        <v>0</v>
      </c>
      <c r="C975" t="str">
        <f>IF(Crowdfunding!G975="failed","failed","")</f>
        <v>failed</v>
      </c>
      <c r="D975">
        <f>IF(Crowdfunding!G975="failed",Crowdfunding!H975,0)</f>
        <v>252</v>
      </c>
    </row>
    <row r="976" spans="1:4" x14ac:dyDescent="0.25">
      <c r="A976" t="str">
        <f>IF(Crowdfunding!G976="successful","successful","")</f>
        <v>successful</v>
      </c>
      <c r="B976">
        <f>IF(Crowdfunding!G976="successful",Crowdfunding!H976,0)</f>
        <v>32</v>
      </c>
      <c r="C976" t="str">
        <f>IF(Crowdfunding!G976="failed","failed","")</f>
        <v/>
      </c>
      <c r="D976">
        <f>IF(Crowdfunding!G976="failed",Crowdfunding!H976,0)</f>
        <v>0</v>
      </c>
    </row>
    <row r="977" spans="1:4" x14ac:dyDescent="0.25">
      <c r="A977" t="str">
        <f>IF(Crowdfunding!G977="successful","successful","")</f>
        <v>successful</v>
      </c>
      <c r="B977">
        <f>IF(Crowdfunding!G977="successful",Crowdfunding!H977,0)</f>
        <v>135</v>
      </c>
      <c r="C977" t="str">
        <f>IF(Crowdfunding!G977="failed","failed","")</f>
        <v/>
      </c>
      <c r="D977">
        <f>IF(Crowdfunding!G977="failed",Crowdfunding!H977,0)</f>
        <v>0</v>
      </c>
    </row>
    <row r="978" spans="1:4" x14ac:dyDescent="0.25">
      <c r="A978" t="str">
        <f>IF(Crowdfunding!G978="successful","successful","")</f>
        <v>successful</v>
      </c>
      <c r="B978">
        <f>IF(Crowdfunding!G978="successful",Crowdfunding!H978,0)</f>
        <v>140</v>
      </c>
      <c r="C978" t="str">
        <f>IF(Crowdfunding!G978="failed","failed","")</f>
        <v/>
      </c>
      <c r="D978">
        <f>IF(Crowdfunding!G978="failed",Crowdfunding!H978,0)</f>
        <v>0</v>
      </c>
    </row>
    <row r="979" spans="1:4" x14ac:dyDescent="0.25">
      <c r="A979" t="str">
        <f>IF(Crowdfunding!G979="successful","successful","")</f>
        <v/>
      </c>
      <c r="B979">
        <f>IF(Crowdfunding!G979="successful",Crowdfunding!H979,0)</f>
        <v>0</v>
      </c>
      <c r="C979" t="str">
        <f>IF(Crowdfunding!G979="failed","failed","")</f>
        <v>failed</v>
      </c>
      <c r="D979">
        <f>IF(Crowdfunding!G979="failed",Crowdfunding!H979,0)</f>
        <v>67</v>
      </c>
    </row>
    <row r="980" spans="1:4" x14ac:dyDescent="0.25">
      <c r="A980" t="str">
        <f>IF(Crowdfunding!G980="successful","successful","")</f>
        <v>successful</v>
      </c>
      <c r="B980">
        <f>IF(Crowdfunding!G980="successful",Crowdfunding!H980,0)</f>
        <v>92</v>
      </c>
      <c r="C980" t="str">
        <f>IF(Crowdfunding!G980="failed","failed","")</f>
        <v/>
      </c>
      <c r="D980">
        <f>IF(Crowdfunding!G980="failed",Crowdfunding!H980,0)</f>
        <v>0</v>
      </c>
    </row>
    <row r="981" spans="1:4" x14ac:dyDescent="0.25">
      <c r="A981" t="str">
        <f>IF(Crowdfunding!G981="successful","successful","")</f>
        <v>successful</v>
      </c>
      <c r="B981">
        <f>IF(Crowdfunding!G981="successful",Crowdfunding!H981,0)</f>
        <v>1015</v>
      </c>
      <c r="C981" t="str">
        <f>IF(Crowdfunding!G981="failed","failed","")</f>
        <v/>
      </c>
      <c r="D981">
        <f>IF(Crowdfunding!G981="failed",Crowdfunding!H981,0)</f>
        <v>0</v>
      </c>
    </row>
    <row r="982" spans="1:4" x14ac:dyDescent="0.25">
      <c r="A982" t="str">
        <f>IF(Crowdfunding!G982="successful","successful","")</f>
        <v/>
      </c>
      <c r="B982">
        <f>IF(Crowdfunding!G982="successful",Crowdfunding!H982,0)</f>
        <v>0</v>
      </c>
      <c r="C982" t="str">
        <f>IF(Crowdfunding!G982="failed","failed","")</f>
        <v>failed</v>
      </c>
      <c r="D982">
        <f>IF(Crowdfunding!G982="failed",Crowdfunding!H982,0)</f>
        <v>742</v>
      </c>
    </row>
    <row r="983" spans="1:4" x14ac:dyDescent="0.25">
      <c r="A983" t="str">
        <f>IF(Crowdfunding!G983="successful","successful","")</f>
        <v>successful</v>
      </c>
      <c r="B983">
        <f>IF(Crowdfunding!G983="successful",Crowdfunding!H983,0)</f>
        <v>323</v>
      </c>
      <c r="C983" t="str">
        <f>IF(Crowdfunding!G983="failed","failed","")</f>
        <v/>
      </c>
      <c r="D983">
        <f>IF(Crowdfunding!G983="failed",Crowdfunding!H983,0)</f>
        <v>0</v>
      </c>
    </row>
    <row r="984" spans="1:4" x14ac:dyDescent="0.25">
      <c r="A984" t="str">
        <f>IF(Crowdfunding!G984="successful","successful","")</f>
        <v/>
      </c>
      <c r="B984">
        <f>IF(Crowdfunding!G984="successful",Crowdfunding!H984,0)</f>
        <v>0</v>
      </c>
      <c r="C984" t="str">
        <f>IF(Crowdfunding!G984="failed","failed","")</f>
        <v>failed</v>
      </c>
      <c r="D984">
        <f>IF(Crowdfunding!G984="failed",Crowdfunding!H984,0)</f>
        <v>75</v>
      </c>
    </row>
    <row r="985" spans="1:4" x14ac:dyDescent="0.25">
      <c r="A985" t="str">
        <f>IF(Crowdfunding!G985="successful","successful","")</f>
        <v>successful</v>
      </c>
      <c r="B985">
        <f>IF(Crowdfunding!G985="successful",Crowdfunding!H985,0)</f>
        <v>2326</v>
      </c>
      <c r="C985" t="str">
        <f>IF(Crowdfunding!G985="failed","failed","")</f>
        <v/>
      </c>
      <c r="D985">
        <f>IF(Crowdfunding!G985="failed",Crowdfunding!H985,0)</f>
        <v>0</v>
      </c>
    </row>
    <row r="986" spans="1:4" x14ac:dyDescent="0.25">
      <c r="A986" t="str">
        <f>IF(Crowdfunding!G986="successful","successful","")</f>
        <v>successful</v>
      </c>
      <c r="B986">
        <f>IF(Crowdfunding!G986="successful",Crowdfunding!H986,0)</f>
        <v>381</v>
      </c>
      <c r="C986" t="str">
        <f>IF(Crowdfunding!G986="failed","failed","")</f>
        <v/>
      </c>
      <c r="D986">
        <f>IF(Crowdfunding!G986="failed",Crowdfunding!H986,0)</f>
        <v>0</v>
      </c>
    </row>
    <row r="987" spans="1:4" x14ac:dyDescent="0.25">
      <c r="A987" t="str">
        <f>IF(Crowdfunding!G987="successful","successful","")</f>
        <v/>
      </c>
      <c r="B987">
        <f>IF(Crowdfunding!G987="successful",Crowdfunding!H987,0)</f>
        <v>0</v>
      </c>
      <c r="C987" t="str">
        <f>IF(Crowdfunding!G987="failed","failed","")</f>
        <v>failed</v>
      </c>
      <c r="D987">
        <f>IF(Crowdfunding!G987="failed",Crowdfunding!H987,0)</f>
        <v>4405</v>
      </c>
    </row>
    <row r="988" spans="1:4" x14ac:dyDescent="0.25">
      <c r="A988" t="str">
        <f>IF(Crowdfunding!G988="successful","successful","")</f>
        <v/>
      </c>
      <c r="B988">
        <f>IF(Crowdfunding!G988="successful",Crowdfunding!H988,0)</f>
        <v>0</v>
      </c>
      <c r="C988" t="str">
        <f>IF(Crowdfunding!G988="failed","failed","")</f>
        <v>failed</v>
      </c>
      <c r="D988">
        <f>IF(Crowdfunding!G988="failed",Crowdfunding!H988,0)</f>
        <v>92</v>
      </c>
    </row>
    <row r="989" spans="1:4" x14ac:dyDescent="0.25">
      <c r="A989" t="str">
        <f>IF(Crowdfunding!G989="successful","successful","")</f>
        <v>successful</v>
      </c>
      <c r="B989">
        <f>IF(Crowdfunding!G989="successful",Crowdfunding!H989,0)</f>
        <v>480</v>
      </c>
      <c r="C989" t="str">
        <f>IF(Crowdfunding!G989="failed","failed","")</f>
        <v/>
      </c>
      <c r="D989">
        <f>IF(Crowdfunding!G989="failed",Crowdfunding!H989,0)</f>
        <v>0</v>
      </c>
    </row>
    <row r="990" spans="1:4" x14ac:dyDescent="0.25">
      <c r="A990" t="str">
        <f>IF(Crowdfunding!G990="successful","successful","")</f>
        <v/>
      </c>
      <c r="B990">
        <f>IF(Crowdfunding!G990="successful",Crowdfunding!H990,0)</f>
        <v>0</v>
      </c>
      <c r="C990" t="str">
        <f>IF(Crowdfunding!G990="failed","failed","")</f>
        <v>failed</v>
      </c>
      <c r="D990">
        <f>IF(Crowdfunding!G990="failed",Crowdfunding!H990,0)</f>
        <v>64</v>
      </c>
    </row>
    <row r="991" spans="1:4" x14ac:dyDescent="0.25">
      <c r="A991" t="str">
        <f>IF(Crowdfunding!G991="successful","successful","")</f>
        <v>successful</v>
      </c>
      <c r="B991">
        <f>IF(Crowdfunding!G991="successful",Crowdfunding!H991,0)</f>
        <v>226</v>
      </c>
      <c r="C991" t="str">
        <f>IF(Crowdfunding!G991="failed","failed","")</f>
        <v/>
      </c>
      <c r="D991">
        <f>IF(Crowdfunding!G991="failed",Crowdfunding!H991,0)</f>
        <v>0</v>
      </c>
    </row>
    <row r="992" spans="1:4" x14ac:dyDescent="0.25">
      <c r="A992" t="str">
        <f>IF(Crowdfunding!G992="successful","successful","")</f>
        <v/>
      </c>
      <c r="B992">
        <f>IF(Crowdfunding!G992="successful",Crowdfunding!H992,0)</f>
        <v>0</v>
      </c>
      <c r="C992" t="str">
        <f>IF(Crowdfunding!G992="failed","failed","")</f>
        <v>failed</v>
      </c>
      <c r="D992">
        <f>IF(Crowdfunding!G992="failed",Crowdfunding!H992,0)</f>
        <v>64</v>
      </c>
    </row>
    <row r="993" spans="1:4" x14ac:dyDescent="0.25">
      <c r="A993" t="str">
        <f>IF(Crowdfunding!G993="successful","successful","")</f>
        <v>successful</v>
      </c>
      <c r="B993">
        <f>IF(Crowdfunding!G993="successful",Crowdfunding!H993,0)</f>
        <v>241</v>
      </c>
      <c r="C993" t="str">
        <f>IF(Crowdfunding!G993="failed","failed","")</f>
        <v/>
      </c>
      <c r="D993">
        <f>IF(Crowdfunding!G993="failed",Crowdfunding!H993,0)</f>
        <v>0</v>
      </c>
    </row>
    <row r="994" spans="1:4" x14ac:dyDescent="0.25">
      <c r="A994" t="str">
        <f>IF(Crowdfunding!G994="successful","successful","")</f>
        <v>successful</v>
      </c>
      <c r="B994">
        <f>IF(Crowdfunding!G994="successful",Crowdfunding!H994,0)</f>
        <v>132</v>
      </c>
      <c r="C994" t="str">
        <f>IF(Crowdfunding!G994="failed","failed","")</f>
        <v/>
      </c>
      <c r="D994">
        <f>IF(Crowdfunding!G994="failed",Crowdfunding!H994,0)</f>
        <v>0</v>
      </c>
    </row>
    <row r="995" spans="1:4" x14ac:dyDescent="0.25">
      <c r="A995" t="str">
        <f>IF(Crowdfunding!G995="successful","successful","")</f>
        <v/>
      </c>
      <c r="B995">
        <f>IF(Crowdfunding!G995="successful",Crowdfunding!H995,0)</f>
        <v>0</v>
      </c>
      <c r="C995" t="str">
        <f>IF(Crowdfunding!G995="failed","failed","")</f>
        <v/>
      </c>
      <c r="D995">
        <f>IF(Crowdfunding!G995="failed",Crowdfunding!H995,0)</f>
        <v>0</v>
      </c>
    </row>
    <row r="996" spans="1:4" x14ac:dyDescent="0.25">
      <c r="A996" t="str">
        <f>IF(Crowdfunding!G996="successful","successful","")</f>
        <v/>
      </c>
      <c r="B996">
        <f>IF(Crowdfunding!G996="successful",Crowdfunding!H996,0)</f>
        <v>0</v>
      </c>
      <c r="C996" t="str">
        <f>IF(Crowdfunding!G996="failed","failed","")</f>
        <v>failed</v>
      </c>
      <c r="D996">
        <f>IF(Crowdfunding!G996="failed",Crowdfunding!H996,0)</f>
        <v>842</v>
      </c>
    </row>
    <row r="997" spans="1:4" x14ac:dyDescent="0.25">
      <c r="A997" t="str">
        <f>IF(Crowdfunding!G997="successful","successful","")</f>
        <v>successful</v>
      </c>
      <c r="B997">
        <f>IF(Crowdfunding!G997="successful",Crowdfunding!H997,0)</f>
        <v>2043</v>
      </c>
      <c r="C997" t="str">
        <f>IF(Crowdfunding!G997="failed","failed","")</f>
        <v/>
      </c>
      <c r="D997">
        <f>IF(Crowdfunding!G997="failed",Crowdfunding!H997,0)</f>
        <v>0</v>
      </c>
    </row>
    <row r="998" spans="1:4" x14ac:dyDescent="0.25">
      <c r="A998" t="str">
        <f>IF(Crowdfunding!G998="successful","successful","")</f>
        <v/>
      </c>
      <c r="B998">
        <f>IF(Crowdfunding!G998="successful",Crowdfunding!H998,0)</f>
        <v>0</v>
      </c>
      <c r="C998" t="str">
        <f>IF(Crowdfunding!G998="failed","failed","")</f>
        <v>failed</v>
      </c>
      <c r="D998">
        <f>IF(Crowdfunding!G998="failed",Crowdfunding!H998,0)</f>
        <v>112</v>
      </c>
    </row>
    <row r="999" spans="1:4" x14ac:dyDescent="0.25">
      <c r="A999" t="str">
        <f>IF(Crowdfunding!G999="successful","successful","")</f>
        <v/>
      </c>
      <c r="B999">
        <f>IF(Crowdfunding!G999="successful",Crowdfunding!H999,0)</f>
        <v>0</v>
      </c>
      <c r="C999" t="str">
        <f>IF(Crowdfunding!G999="failed","failed","")</f>
        <v/>
      </c>
      <c r="D999">
        <f>IF(Crowdfunding!G999="failed",Crowdfunding!H999,0)</f>
        <v>0</v>
      </c>
    </row>
    <row r="1000" spans="1:4" x14ac:dyDescent="0.25">
      <c r="A1000" t="str">
        <f>IF(Crowdfunding!G1000="successful","successful","")</f>
        <v/>
      </c>
      <c r="B1000">
        <f>IF(Crowdfunding!G1000="successful",Crowdfunding!H1000,0)</f>
        <v>0</v>
      </c>
      <c r="C1000" t="str">
        <f>IF(Crowdfunding!G1000="failed","failed","")</f>
        <v>failed</v>
      </c>
      <c r="D1000">
        <f>IF(Crowdfunding!G1000="failed",Crowdfunding!H1000,0)</f>
        <v>374</v>
      </c>
    </row>
    <row r="1001" spans="1:4" x14ac:dyDescent="0.25">
      <c r="A1001" t="str">
        <f>IF(Crowdfunding!G1001="successful","successful","")</f>
        <v/>
      </c>
      <c r="B1001">
        <f>IF(Crowdfunding!G1001="successful",Crowdfunding!H1001,0)</f>
        <v>0</v>
      </c>
      <c r="C1001" t="str">
        <f>IF(Crowdfunding!G1001="failed","failed","")</f>
        <v/>
      </c>
      <c r="D1001">
        <f>IF(Crowdfunding!G1001="failed",Crowdfunding!H1001,0)</f>
        <v>0</v>
      </c>
    </row>
    <row r="1002" spans="1:4" x14ac:dyDescent="0.25">
      <c r="C1002" t="str">
        <f>IF(Crowdfunding!G1002="failed","failed","")</f>
        <v/>
      </c>
    </row>
    <row r="1003" spans="1:4" x14ac:dyDescent="0.25">
      <c r="A1003" t="str">
        <f>IF(Crowdfunding!G1003="successful","successful","")</f>
        <v/>
      </c>
      <c r="C1003" t="str">
        <f>IF(Crowdfunding!G1003="failed","failed","")</f>
        <v/>
      </c>
    </row>
    <row r="1004" spans="1:4" x14ac:dyDescent="0.25">
      <c r="A1004" t="str">
        <f>IF(Crowdfunding!G1004="successful","successful","")</f>
        <v/>
      </c>
      <c r="C1004" t="str">
        <f>IF(Crowdfunding!G1004="failed","failed","")</f>
        <v/>
      </c>
    </row>
    <row r="1005" spans="1:4" x14ac:dyDescent="0.25">
      <c r="A1005" t="str">
        <f>IF(Crowdfunding!G1005="successful","successful","")</f>
        <v/>
      </c>
      <c r="C1005" t="str">
        <f>IF(Crowdfunding!G1005="failed","failed","")</f>
        <v/>
      </c>
    </row>
    <row r="1006" spans="1:4" x14ac:dyDescent="0.25">
      <c r="A1006" t="str">
        <f>IF(Crowdfunding!G1006="successful","successful","")</f>
        <v/>
      </c>
      <c r="C1006" t="str">
        <f>IF(Crowdfunding!G1006="failed","failed","")</f>
        <v/>
      </c>
    </row>
    <row r="1007" spans="1:4" x14ac:dyDescent="0.25">
      <c r="A1007" t="str">
        <f>IF(Crowdfunding!G1007="successful","successful","")</f>
        <v/>
      </c>
      <c r="C1007" t="str">
        <f>IF(Crowdfunding!G1007="failed","failed","")</f>
        <v/>
      </c>
    </row>
    <row r="1008" spans="1:4" x14ac:dyDescent="0.25">
      <c r="A1008" t="str">
        <f>IF(Crowdfunding!G1008="successful","successful","")</f>
        <v/>
      </c>
      <c r="C1008" t="str">
        <f>IF(Crowdfunding!G1008="failed","failed","")</f>
        <v/>
      </c>
    </row>
    <row r="1009" spans="1:3" x14ac:dyDescent="0.25">
      <c r="A1009" t="str">
        <f>IF(Crowdfunding!G1009="successful","successful","")</f>
        <v/>
      </c>
      <c r="C1009" t="str">
        <f>IF(Crowdfunding!G1009="failed","failed","")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9B0C-F3C7-4B02-9754-539A3C334DB0}">
  <dimension ref="A1:N13"/>
  <sheetViews>
    <sheetView topLeftCell="A3" workbookViewId="0">
      <selection activeCell="N11" sqref="N11"/>
    </sheetView>
  </sheetViews>
  <sheetFormatPr defaultRowHeight="15.75" x14ac:dyDescent="0.25"/>
  <cols>
    <col min="1" max="1" width="12.375" bestFit="1" customWidth="1"/>
    <col min="3" max="3" width="5.25" customWidth="1"/>
    <col min="4" max="4" width="7.875" customWidth="1"/>
    <col min="5" max="5" width="3.625" customWidth="1"/>
    <col min="6" max="6" width="9.875" customWidth="1"/>
  </cols>
  <sheetData>
    <row r="1" spans="1:14" ht="2.25" hidden="1" customHeight="1" x14ac:dyDescent="0.25"/>
    <row r="2" spans="1:14" hidden="1" x14ac:dyDescent="0.25"/>
    <row r="3" spans="1:14" x14ac:dyDescent="0.25">
      <c r="A3" s="7" t="s">
        <v>2033</v>
      </c>
      <c r="B3" t="s">
        <v>20</v>
      </c>
      <c r="C3" t="s">
        <v>14</v>
      </c>
      <c r="D3" t="s">
        <v>74</v>
      </c>
      <c r="E3" t="s">
        <v>47</v>
      </c>
      <c r="F3" t="s">
        <v>2044</v>
      </c>
    </row>
    <row r="4" spans="1:14" x14ac:dyDescent="0.25">
      <c r="A4" s="8" t="s">
        <v>2034</v>
      </c>
      <c r="B4" s="9">
        <f>COUNTIFS(Crowdfunding!P2:P1001, "film &amp; video", Crowdfunding!G2:G1001, "successful")</f>
        <v>102</v>
      </c>
      <c r="C4">
        <v>60</v>
      </c>
      <c r="D4">
        <f>COUNTIFS(Crowdfunding!P2:P1001,"film &amp; video",Crowdfunding!G2:G1001,"canceled")</f>
        <v>11</v>
      </c>
      <c r="E4">
        <f>COUNTIFS(Crowdfunding!P2:P1001,"film &amp; video",Crowdfunding!G2:G1001,"live")</f>
        <v>5</v>
      </c>
      <c r="F4">
        <f>SUM(B4:E4)</f>
        <v>178</v>
      </c>
    </row>
    <row r="5" spans="1:14" x14ac:dyDescent="0.25">
      <c r="A5" s="8" t="s">
        <v>2035</v>
      </c>
      <c r="B5" s="9">
        <f>COUNTIFS(Crowdfunding!P3:P1002, "food", Crowdfunding!G3:G1002, "successful")</f>
        <v>22</v>
      </c>
      <c r="C5">
        <f>COUNTIFS(Crowdfunding!P2:P1001,"food",Crowdfunding!G2:G1001,"failed")</f>
        <v>20</v>
      </c>
      <c r="D5">
        <f>COUNTIFS(Crowdfunding!P2:P1001,"food",Crowdfunding!G2:G1001,"canceled")</f>
        <v>4</v>
      </c>
      <c r="E5">
        <f>COUNTIFS(Crowdfunding!P2:P1001,"food",Crowdfunding!G2:G1001,"live")</f>
        <v>0</v>
      </c>
      <c r="F5">
        <f t="shared" ref="F5:F12" si="0">SUM(B5:E5)</f>
        <v>46</v>
      </c>
    </row>
    <row r="6" spans="1:14" x14ac:dyDescent="0.25">
      <c r="A6" s="8" t="s">
        <v>2036</v>
      </c>
      <c r="B6" s="9">
        <f>COUNTIFS(Crowdfunding!P4:P1003, "games", Crowdfunding!G4:G1003, "successful")</f>
        <v>21</v>
      </c>
      <c r="C6">
        <f>COUNTIFS(Crowdfunding!P2:P1001,"games",Crowdfunding!G2:G1001,"failed")</f>
        <v>23</v>
      </c>
      <c r="D6">
        <f>COUNTIFS(Crowdfunding!P2:P1001,"games",Crowdfunding!G2:G1001,"canceled")</f>
        <v>1</v>
      </c>
      <c r="E6">
        <f>COUNTIFS(Crowdfunding!P2:P1001,"games",Crowdfunding!G2:G1001,"live")</f>
        <v>3</v>
      </c>
      <c r="F6">
        <f t="shared" si="0"/>
        <v>48</v>
      </c>
    </row>
    <row r="7" spans="1:14" x14ac:dyDescent="0.25">
      <c r="A7" s="8" t="s">
        <v>2037</v>
      </c>
      <c r="B7" s="9">
        <f>COUNTIFS(Crowdfunding!P5:P1004, "journalism", Crowdfunding!G5:G1004, "successful")</f>
        <v>4</v>
      </c>
      <c r="C7">
        <f>COUNTIFS(Crowdfunding!P2:P1001,"journalism",Crowdfunding!G2:G1001,"failed")</f>
        <v>0</v>
      </c>
      <c r="D7">
        <f>COUNTIFS(Crowdfunding!P2:P1001,"journalism",Crowdfunding!G2:G1001,"canceled")</f>
        <v>0</v>
      </c>
      <c r="E7">
        <f>COUNTIFS(Crowdfunding!P2:P1001,"journalism",Crowdfunding!G2:G1001,"live")</f>
        <v>0</v>
      </c>
      <c r="F7">
        <f t="shared" si="0"/>
        <v>4</v>
      </c>
      <c r="N7" s="10" t="b">
        <v>0</v>
      </c>
    </row>
    <row r="8" spans="1:14" x14ac:dyDescent="0.25">
      <c r="A8" s="8" t="s">
        <v>2038</v>
      </c>
      <c r="B8" s="9">
        <v>99</v>
      </c>
      <c r="C8">
        <f>COUNTIFS(Crowdfunding!P2:P1001,"music",Crowdfunding!G2:G1001,"failed")</f>
        <v>66</v>
      </c>
      <c r="D8">
        <f>COUNTIFS(Crowdfunding!P2:P1001,"music",Crowdfunding!G2:G1001,"canceled")</f>
        <v>10</v>
      </c>
      <c r="E8">
        <f>COUNTIFS(Crowdfunding!P2:P1001,"music",Crowdfunding!G2:G1001,"live")</f>
        <v>0</v>
      </c>
      <c r="F8">
        <f t="shared" si="0"/>
        <v>175</v>
      </c>
    </row>
    <row r="9" spans="1:14" x14ac:dyDescent="0.25">
      <c r="A9" s="8" t="s">
        <v>2039</v>
      </c>
      <c r="B9" s="9">
        <f>COUNTIFS(Crowdfunding!P7:P1006, "photography", Crowdfunding!G7:G1006, "successful")</f>
        <v>26</v>
      </c>
      <c r="C9">
        <f>COUNTIFS(Crowdfunding!P2:P1001,"photography",Crowdfunding!G2:G1001,"failed")</f>
        <v>11</v>
      </c>
      <c r="D9">
        <f>COUNTIFS(Crowdfunding!P2:P1001,"photography",Crowdfunding!G2:G1001,"canceled")</f>
        <v>4</v>
      </c>
      <c r="E9">
        <f>COUNTIFS(Crowdfunding!P2:P1001,"photography",Crowdfunding!G2:G1001,"live")</f>
        <v>1</v>
      </c>
      <c r="F9">
        <f t="shared" si="0"/>
        <v>42</v>
      </c>
    </row>
    <row r="10" spans="1:14" x14ac:dyDescent="0.25">
      <c r="A10" s="8" t="s">
        <v>2040</v>
      </c>
      <c r="B10" s="9">
        <f>COUNTIFS(Crowdfunding!P8:P1007, "publishing", Crowdfunding!G8:G1007, "successful")</f>
        <v>40</v>
      </c>
      <c r="C10">
        <f>COUNTIFS(Crowdfunding!P2:P1001,"publishing",Crowdfunding!G2:G1001,"failed")</f>
        <v>24</v>
      </c>
      <c r="D10">
        <f>COUNTIFS(Crowdfunding!P2:P1001,"publishing",Crowdfunding!G2:G1001,"canceled")</f>
        <v>2</v>
      </c>
      <c r="E10">
        <f>COUNTIFS(Crowdfunding!P2:P1001,"publishing",Crowdfunding!G2:G1001,"live")</f>
        <v>1</v>
      </c>
      <c r="F10">
        <f t="shared" si="0"/>
        <v>67</v>
      </c>
    </row>
    <row r="11" spans="1:14" x14ac:dyDescent="0.25">
      <c r="A11" s="8" t="s">
        <v>2041</v>
      </c>
      <c r="B11" s="9">
        <v>64</v>
      </c>
      <c r="C11">
        <f>COUNTIFS(Crowdfunding!P2:P1001,"technology",Crowdfunding!G2:G1001,"failed")</f>
        <v>28</v>
      </c>
      <c r="D11">
        <f>COUNTIFS(Crowdfunding!P2:P1001,"technology",Crowdfunding!G2:G1001,"canceled")</f>
        <v>2</v>
      </c>
      <c r="E11">
        <f>COUNTIFS(Crowdfunding!P2:P1001,"technology",Crowdfunding!G2:G1001,"live")</f>
        <v>2</v>
      </c>
      <c r="F11">
        <f t="shared" si="0"/>
        <v>96</v>
      </c>
    </row>
    <row r="12" spans="1:14" x14ac:dyDescent="0.25">
      <c r="A12" s="8" t="s">
        <v>2042</v>
      </c>
      <c r="B12" s="9">
        <v>187</v>
      </c>
      <c r="C12">
        <f>COUNTIFS(Crowdfunding!P2:P1001,"theater",Crowdfunding!G2:G1001,"failed")</f>
        <v>132</v>
      </c>
      <c r="D12">
        <f>COUNTIFS(Crowdfunding!P2:P1001,"theater",Crowdfunding!G2:G1001,"canceled")</f>
        <v>23</v>
      </c>
      <c r="E12">
        <f>COUNTIFS(Crowdfunding!P2:P1001,"theater",Crowdfunding!G2:G1001,"live")</f>
        <v>2</v>
      </c>
      <c r="F12">
        <f t="shared" si="0"/>
        <v>344</v>
      </c>
    </row>
    <row r="13" spans="1:14" x14ac:dyDescent="0.25">
      <c r="A13" s="8" t="s">
        <v>2043</v>
      </c>
      <c r="B13" s="9">
        <f>SUM(B4:B12)</f>
        <v>565</v>
      </c>
      <c r="C13">
        <f>SUM(C4:C12)</f>
        <v>364</v>
      </c>
      <c r="D13">
        <f>SUM(D4:D12)</f>
        <v>57</v>
      </c>
      <c r="E13">
        <f>SUM(E4:E12)</f>
        <v>14</v>
      </c>
      <c r="F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style="5" customWidth="1"/>
    <col min="8" max="8" width="13" bestFit="1" customWidth="1"/>
    <col min="9" max="9" width="16.25" customWidth="1"/>
    <col min="12" max="13" width="11.125" bestFit="1" customWidth="1"/>
    <col min="16" max="16" width="14.625" customWidth="1"/>
    <col min="17" max="17" width="11.375" customWidth="1"/>
    <col min="18" max="18" width="28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2031</v>
      </c>
      <c r="Q1" s="1" t="s">
        <v>2032</v>
      </c>
      <c r="R1" s="1" t="s">
        <v>2028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tr">
        <f>_xlfn.TEXTBEFORE(R2,"/")</f>
        <v>food</v>
      </c>
      <c r="Q2" t="str">
        <f>_xlfn.TEXTAFTER(R2,"/")</f>
        <v>food trucks</v>
      </c>
      <c r="R2" t="s">
        <v>17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tr">
        <f t="shared" ref="P3:P66" si="2">_xlfn.TEXTBEFORE(R3,"/")</f>
        <v>music</v>
      </c>
      <c r="Q3" t="str">
        <f t="shared" ref="Q3:Q66" si="3">_xlfn.TEXTAFTER(R3,"/")</f>
        <v>rock</v>
      </c>
      <c r="R3" t="s">
        <v>23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tr">
        <f t="shared" si="2"/>
        <v>technology</v>
      </c>
      <c r="Q4" t="str">
        <f t="shared" si="3"/>
        <v>web</v>
      </c>
      <c r="R4" t="s">
        <v>28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tr">
        <f t="shared" si="2"/>
        <v>music</v>
      </c>
      <c r="Q5" t="str">
        <f t="shared" si="3"/>
        <v>rock</v>
      </c>
      <c r="R5" t="s">
        <v>23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tr">
        <f t="shared" si="2"/>
        <v>theater</v>
      </c>
      <c r="Q6" t="str">
        <f t="shared" si="3"/>
        <v>plays</v>
      </c>
      <c r="R6" t="s">
        <v>33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tr">
        <f t="shared" si="2"/>
        <v>theater</v>
      </c>
      <c r="Q7" t="str">
        <f t="shared" si="3"/>
        <v>plays</v>
      </c>
      <c r="R7" t="s">
        <v>33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tr">
        <f t="shared" si="2"/>
        <v>film &amp; video</v>
      </c>
      <c r="Q8" t="str">
        <f t="shared" si="3"/>
        <v>documentary</v>
      </c>
      <c r="R8" t="s">
        <v>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tr">
        <f t="shared" si="2"/>
        <v>theater</v>
      </c>
      <c r="Q9" t="str">
        <f t="shared" si="3"/>
        <v>plays</v>
      </c>
      <c r="R9" t="s">
        <v>33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tr">
        <f t="shared" si="2"/>
        <v>theater</v>
      </c>
      <c r="Q10" t="str">
        <f t="shared" si="3"/>
        <v>plays</v>
      </c>
      <c r="R10" t="s">
        <v>33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tr">
        <f t="shared" si="2"/>
        <v>music</v>
      </c>
      <c r="Q11" t="str">
        <f t="shared" si="3"/>
        <v>electric music</v>
      </c>
      <c r="R11" t="s">
        <v>50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tr">
        <f t="shared" si="2"/>
        <v>film &amp; video</v>
      </c>
      <c r="Q12" t="str">
        <f t="shared" si="3"/>
        <v>drama</v>
      </c>
      <c r="R12" t="s">
        <v>53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tr">
        <f t="shared" si="2"/>
        <v>theater</v>
      </c>
      <c r="Q13" t="str">
        <f t="shared" si="3"/>
        <v>plays</v>
      </c>
      <c r="R13" t="s">
        <v>33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tr">
        <f t="shared" si="2"/>
        <v>film &amp; video</v>
      </c>
      <c r="Q14" t="str">
        <f t="shared" si="3"/>
        <v>drama</v>
      </c>
      <c r="R14" t="s">
        <v>53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tr">
        <f t="shared" si="2"/>
        <v>music</v>
      </c>
      <c r="Q15" t="str">
        <f t="shared" si="3"/>
        <v>indie rock</v>
      </c>
      <c r="R15" t="s">
        <v>60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tr">
        <f t="shared" si="2"/>
        <v>music</v>
      </c>
      <c r="Q16" t="str">
        <f t="shared" si="3"/>
        <v>indie rock</v>
      </c>
      <c r="R16" t="s">
        <v>60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tr">
        <f t="shared" si="2"/>
        <v>technology</v>
      </c>
      <c r="Q17" t="str">
        <f t="shared" si="3"/>
        <v>wearables</v>
      </c>
      <c r="R17" t="s">
        <v>65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tr">
        <f t="shared" si="2"/>
        <v>publishing</v>
      </c>
      <c r="Q18" t="str">
        <f t="shared" si="3"/>
        <v>nonfiction</v>
      </c>
      <c r="R18" t="s">
        <v>68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tr">
        <f t="shared" si="2"/>
        <v>film &amp; video</v>
      </c>
      <c r="Q19" t="str">
        <f t="shared" si="3"/>
        <v>animation</v>
      </c>
      <c r="R19" t="s">
        <v>71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tr">
        <f t="shared" si="2"/>
        <v>theater</v>
      </c>
      <c r="Q20" t="str">
        <f t="shared" si="3"/>
        <v>plays</v>
      </c>
      <c r="R20" t="s">
        <v>33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tr">
        <f t="shared" si="2"/>
        <v>theater</v>
      </c>
      <c r="Q21" t="str">
        <f t="shared" si="3"/>
        <v>plays</v>
      </c>
      <c r="R21" t="s">
        <v>33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tr">
        <f t="shared" si="2"/>
        <v>film &amp; video</v>
      </c>
      <c r="Q22" t="str">
        <f t="shared" si="3"/>
        <v>drama</v>
      </c>
      <c r="R22" t="s">
        <v>53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tr">
        <f t="shared" si="2"/>
        <v>theater</v>
      </c>
      <c r="Q23" t="str">
        <f t="shared" si="3"/>
        <v>plays</v>
      </c>
      <c r="R23" t="s">
        <v>33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tr">
        <f t="shared" si="2"/>
        <v>theater</v>
      </c>
      <c r="Q24" t="str">
        <f t="shared" si="3"/>
        <v>plays</v>
      </c>
      <c r="R24" t="s">
        <v>33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tr">
        <f t="shared" si="2"/>
        <v>film &amp; video</v>
      </c>
      <c r="Q25" t="str">
        <f t="shared" si="3"/>
        <v>documentary</v>
      </c>
      <c r="R25" t="s">
        <v>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tr">
        <f t="shared" si="2"/>
        <v>technology</v>
      </c>
      <c r="Q26" t="str">
        <f t="shared" si="3"/>
        <v>wearables</v>
      </c>
      <c r="R26" t="s">
        <v>65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tr">
        <f t="shared" si="2"/>
        <v>games</v>
      </c>
      <c r="Q27" t="str">
        <f t="shared" si="3"/>
        <v>video games</v>
      </c>
      <c r="R27" t="s">
        <v>89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tr">
        <f t="shared" si="2"/>
        <v>theater</v>
      </c>
      <c r="Q28" t="str">
        <f t="shared" si="3"/>
        <v>plays</v>
      </c>
      <c r="R28" t="s">
        <v>33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tr">
        <f t="shared" si="2"/>
        <v>music</v>
      </c>
      <c r="Q29" t="str">
        <f t="shared" si="3"/>
        <v>rock</v>
      </c>
      <c r="R29" t="s">
        <v>23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tr">
        <f t="shared" si="2"/>
        <v>theater</v>
      </c>
      <c r="Q30" t="str">
        <f t="shared" si="3"/>
        <v>plays</v>
      </c>
      <c r="R30" t="s">
        <v>33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tr">
        <f t="shared" si="2"/>
        <v>film &amp; video</v>
      </c>
      <c r="Q31" t="str">
        <f t="shared" si="3"/>
        <v>shorts</v>
      </c>
      <c r="R31" t="s">
        <v>100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tr">
        <f t="shared" si="2"/>
        <v>film &amp; video</v>
      </c>
      <c r="Q32" t="str">
        <f t="shared" si="3"/>
        <v>animation</v>
      </c>
      <c r="R32" t="s">
        <v>71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tr">
        <f t="shared" si="2"/>
        <v>games</v>
      </c>
      <c r="Q33" t="str">
        <f t="shared" si="3"/>
        <v>video games</v>
      </c>
      <c r="R33" t="s">
        <v>89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tr">
        <f t="shared" si="2"/>
        <v>film &amp; video</v>
      </c>
      <c r="Q34" t="str">
        <f t="shared" si="3"/>
        <v>documentary</v>
      </c>
      <c r="R34" t="s">
        <v>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tr">
        <f t="shared" si="2"/>
        <v>theater</v>
      </c>
      <c r="Q35" t="str">
        <f t="shared" si="3"/>
        <v>plays</v>
      </c>
      <c r="R35" t="s">
        <v>33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tr">
        <f t="shared" si="2"/>
        <v>film &amp; video</v>
      </c>
      <c r="Q36" t="str">
        <f t="shared" si="3"/>
        <v>documentary</v>
      </c>
      <c r="R36" t="s">
        <v>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tr">
        <f t="shared" si="2"/>
        <v>film &amp; video</v>
      </c>
      <c r="Q37" t="str">
        <f t="shared" si="3"/>
        <v>drama</v>
      </c>
      <c r="R37" t="s">
        <v>53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tr">
        <f t="shared" si="2"/>
        <v>theater</v>
      </c>
      <c r="Q38" t="str">
        <f t="shared" si="3"/>
        <v>plays</v>
      </c>
      <c r="R38" t="s">
        <v>33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tr">
        <f t="shared" si="2"/>
        <v>publishing</v>
      </c>
      <c r="Q39" t="str">
        <f t="shared" si="3"/>
        <v>fiction</v>
      </c>
      <c r="R39" t="s">
        <v>119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tr">
        <f t="shared" si="2"/>
        <v>photography</v>
      </c>
      <c r="Q40" t="str">
        <f t="shared" si="3"/>
        <v>photography books</v>
      </c>
      <c r="R40" t="s">
        <v>122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tr">
        <f t="shared" si="2"/>
        <v>theater</v>
      </c>
      <c r="Q41" t="str">
        <f t="shared" si="3"/>
        <v>plays</v>
      </c>
      <c r="R41" t="s">
        <v>33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tr">
        <f t="shared" si="2"/>
        <v>technology</v>
      </c>
      <c r="Q42" t="str">
        <f t="shared" si="3"/>
        <v>wearables</v>
      </c>
      <c r="R42" t="s">
        <v>65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tr">
        <f t="shared" si="2"/>
        <v>music</v>
      </c>
      <c r="Q43" t="str">
        <f t="shared" si="3"/>
        <v>rock</v>
      </c>
      <c r="R43" t="s">
        <v>23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tr">
        <f t="shared" si="2"/>
        <v>food</v>
      </c>
      <c r="Q44" t="str">
        <f t="shared" si="3"/>
        <v>food trucks</v>
      </c>
      <c r="R44" t="s">
        <v>17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tr">
        <f t="shared" si="2"/>
        <v>publishing</v>
      </c>
      <c r="Q45" t="str">
        <f t="shared" si="3"/>
        <v>radio &amp; podcasts</v>
      </c>
      <c r="R45" t="s">
        <v>133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tr">
        <f t="shared" si="2"/>
        <v>publishing</v>
      </c>
      <c r="Q46" t="str">
        <f t="shared" si="3"/>
        <v>fiction</v>
      </c>
      <c r="R46" t="s">
        <v>119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tr">
        <f t="shared" si="2"/>
        <v>theater</v>
      </c>
      <c r="Q47" t="str">
        <f t="shared" si="3"/>
        <v>plays</v>
      </c>
      <c r="R47" t="s">
        <v>33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tr">
        <f t="shared" si="2"/>
        <v>music</v>
      </c>
      <c r="Q48" t="str">
        <f t="shared" si="3"/>
        <v>rock</v>
      </c>
      <c r="R48" t="s">
        <v>23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tr">
        <f t="shared" si="2"/>
        <v>theater</v>
      </c>
      <c r="Q49" t="str">
        <f t="shared" si="3"/>
        <v>plays</v>
      </c>
      <c r="R49" t="s">
        <v>33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tr">
        <f t="shared" si="2"/>
        <v>theater</v>
      </c>
      <c r="Q50" t="str">
        <f t="shared" si="3"/>
        <v>plays</v>
      </c>
      <c r="R50" t="s">
        <v>33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tr">
        <f t="shared" si="2"/>
        <v>music</v>
      </c>
      <c r="Q51" t="str">
        <f t="shared" si="3"/>
        <v>rock</v>
      </c>
      <c r="R51" t="s">
        <v>23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tr">
        <f t="shared" si="2"/>
        <v>music</v>
      </c>
      <c r="Q52" t="str">
        <f t="shared" si="3"/>
        <v>metal</v>
      </c>
      <c r="R52" t="s">
        <v>148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tr">
        <f t="shared" si="2"/>
        <v>technology</v>
      </c>
      <c r="Q53" t="str">
        <f t="shared" si="3"/>
        <v>wearables</v>
      </c>
      <c r="R53" t="s">
        <v>65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tr">
        <f t="shared" si="2"/>
        <v>theater</v>
      </c>
      <c r="Q54" t="str">
        <f t="shared" si="3"/>
        <v>plays</v>
      </c>
      <c r="R54" t="s">
        <v>33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tr">
        <f t="shared" si="2"/>
        <v>film &amp; video</v>
      </c>
      <c r="Q55" t="str">
        <f t="shared" si="3"/>
        <v>drama</v>
      </c>
      <c r="R55" t="s">
        <v>53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tr">
        <f t="shared" si="2"/>
        <v>technology</v>
      </c>
      <c r="Q56" t="str">
        <f t="shared" si="3"/>
        <v>wearables</v>
      </c>
      <c r="R56" t="s">
        <v>65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tr">
        <f t="shared" si="2"/>
        <v>music</v>
      </c>
      <c r="Q57" t="str">
        <f t="shared" si="3"/>
        <v>jazz</v>
      </c>
      <c r="R57" t="s">
        <v>159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tr">
        <f t="shared" si="2"/>
        <v>technology</v>
      </c>
      <c r="Q58" t="str">
        <f t="shared" si="3"/>
        <v>wearables</v>
      </c>
      <c r="R58" t="s">
        <v>65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tr">
        <f t="shared" si="2"/>
        <v>games</v>
      </c>
      <c r="Q59" t="str">
        <f t="shared" si="3"/>
        <v>video games</v>
      </c>
      <c r="R59" t="s">
        <v>89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tr">
        <f t="shared" si="2"/>
        <v>theater</v>
      </c>
      <c r="Q60" t="str">
        <f t="shared" si="3"/>
        <v>plays</v>
      </c>
      <c r="R60" t="s">
        <v>33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tr">
        <f t="shared" si="2"/>
        <v>theater</v>
      </c>
      <c r="Q61" t="str">
        <f t="shared" si="3"/>
        <v>plays</v>
      </c>
      <c r="R61" t="s">
        <v>33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tr">
        <f t="shared" si="2"/>
        <v>theater</v>
      </c>
      <c r="Q62" t="str">
        <f t="shared" si="3"/>
        <v>plays</v>
      </c>
      <c r="R62" t="s">
        <v>33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tr">
        <f t="shared" si="2"/>
        <v>theater</v>
      </c>
      <c r="Q63" t="str">
        <f t="shared" si="3"/>
        <v>plays</v>
      </c>
      <c r="R63" t="s">
        <v>33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tr">
        <f t="shared" si="2"/>
        <v>technology</v>
      </c>
      <c r="Q64" t="str">
        <f t="shared" si="3"/>
        <v>web</v>
      </c>
      <c r="R64" t="s">
        <v>28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tr">
        <f t="shared" si="2"/>
        <v>theater</v>
      </c>
      <c r="Q65" t="str">
        <f t="shared" si="3"/>
        <v>plays</v>
      </c>
      <c r="R65" t="s">
        <v>33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tr">
        <f t="shared" si="2"/>
        <v>technology</v>
      </c>
      <c r="Q66" t="str">
        <f t="shared" si="3"/>
        <v>web</v>
      </c>
      <c r="R66" t="s">
        <v>28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E67/D67*100</f>
        <v>236.14754098360655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tr">
        <f t="shared" ref="P67:P130" si="6">_xlfn.TEXTBEFORE(R67,"/")</f>
        <v>theater</v>
      </c>
      <c r="Q67" t="str">
        <f t="shared" ref="Q67:Q130" si="7">_xlfn.TEXTAFTER(R67,"/")</f>
        <v>plays</v>
      </c>
      <c r="R67" t="s">
        <v>33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tr">
        <f t="shared" si="6"/>
        <v>theater</v>
      </c>
      <c r="Q68" t="str">
        <f t="shared" si="7"/>
        <v>plays</v>
      </c>
      <c r="R68" t="s">
        <v>33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tr">
        <f t="shared" si="6"/>
        <v>technology</v>
      </c>
      <c r="Q69" t="str">
        <f t="shared" si="7"/>
        <v>wearables</v>
      </c>
      <c r="R69" t="s">
        <v>65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tr">
        <f t="shared" si="6"/>
        <v>theater</v>
      </c>
      <c r="Q70" t="str">
        <f t="shared" si="7"/>
        <v>plays</v>
      </c>
      <c r="R70" t="s">
        <v>33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tr">
        <f t="shared" si="6"/>
        <v>theater</v>
      </c>
      <c r="Q71" t="str">
        <f t="shared" si="7"/>
        <v>plays</v>
      </c>
      <c r="R71" t="s">
        <v>33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tr">
        <f t="shared" si="6"/>
        <v>theater</v>
      </c>
      <c r="Q72" t="str">
        <f t="shared" si="7"/>
        <v>plays</v>
      </c>
      <c r="R72" t="s">
        <v>33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tr">
        <f t="shared" si="6"/>
        <v>theater</v>
      </c>
      <c r="Q73" t="str">
        <f t="shared" si="7"/>
        <v>plays</v>
      </c>
      <c r="R73" t="s">
        <v>33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tr">
        <f t="shared" si="6"/>
        <v>film &amp; video</v>
      </c>
      <c r="Q74" t="str">
        <f t="shared" si="7"/>
        <v>animation</v>
      </c>
      <c r="R74" t="s">
        <v>71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tr">
        <f t="shared" si="6"/>
        <v>music</v>
      </c>
      <c r="Q75" t="str">
        <f t="shared" si="7"/>
        <v>jazz</v>
      </c>
      <c r="R75" t="s">
        <v>159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tr">
        <f t="shared" si="6"/>
        <v>music</v>
      </c>
      <c r="Q76" t="str">
        <f t="shared" si="7"/>
        <v>metal</v>
      </c>
      <c r="R76" t="s">
        <v>148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tr">
        <f t="shared" si="6"/>
        <v>photography</v>
      </c>
      <c r="Q77" t="str">
        <f t="shared" si="7"/>
        <v>photography books</v>
      </c>
      <c r="R77" t="s">
        <v>122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tr">
        <f t="shared" si="6"/>
        <v>theater</v>
      </c>
      <c r="Q78" t="str">
        <f t="shared" si="7"/>
        <v>plays</v>
      </c>
      <c r="R78" t="s">
        <v>33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tr">
        <f t="shared" si="6"/>
        <v>film &amp; video</v>
      </c>
      <c r="Q79" t="str">
        <f t="shared" si="7"/>
        <v>animation</v>
      </c>
      <c r="R79" t="s">
        <v>71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tr">
        <f t="shared" si="6"/>
        <v>publishing</v>
      </c>
      <c r="Q80" t="str">
        <f t="shared" si="7"/>
        <v>translations</v>
      </c>
      <c r="R80" t="s">
        <v>206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tr">
        <f t="shared" si="6"/>
        <v>theater</v>
      </c>
      <c r="Q81" t="str">
        <f t="shared" si="7"/>
        <v>plays</v>
      </c>
      <c r="R81" t="s">
        <v>33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tr">
        <f t="shared" si="6"/>
        <v>games</v>
      </c>
      <c r="Q82" t="str">
        <f t="shared" si="7"/>
        <v>video games</v>
      </c>
      <c r="R82" t="s">
        <v>89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tr">
        <f t="shared" si="6"/>
        <v>music</v>
      </c>
      <c r="Q83" t="str">
        <f t="shared" si="7"/>
        <v>rock</v>
      </c>
      <c r="R83" t="s">
        <v>23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tr">
        <f t="shared" si="6"/>
        <v>games</v>
      </c>
      <c r="Q84" t="str">
        <f t="shared" si="7"/>
        <v>video games</v>
      </c>
      <c r="R84" t="s">
        <v>89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tr">
        <f t="shared" si="6"/>
        <v>music</v>
      </c>
      <c r="Q85" t="str">
        <f t="shared" si="7"/>
        <v>electric music</v>
      </c>
      <c r="R85" t="s">
        <v>50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tr">
        <f t="shared" si="6"/>
        <v>technology</v>
      </c>
      <c r="Q86" t="str">
        <f t="shared" si="7"/>
        <v>wearables</v>
      </c>
      <c r="R86" t="s">
        <v>65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tr">
        <f t="shared" si="6"/>
        <v>music</v>
      </c>
      <c r="Q87" t="str">
        <f t="shared" si="7"/>
        <v>indie rock</v>
      </c>
      <c r="R87" t="s">
        <v>60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tr">
        <f t="shared" si="6"/>
        <v>theater</v>
      </c>
      <c r="Q88" t="str">
        <f t="shared" si="7"/>
        <v>plays</v>
      </c>
      <c r="R88" t="s">
        <v>33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tr">
        <f t="shared" si="6"/>
        <v>music</v>
      </c>
      <c r="Q89" t="str">
        <f t="shared" si="7"/>
        <v>rock</v>
      </c>
      <c r="R89" t="s">
        <v>23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tr">
        <f t="shared" si="6"/>
        <v>publishing</v>
      </c>
      <c r="Q90" t="str">
        <f t="shared" si="7"/>
        <v>translations</v>
      </c>
      <c r="R90" t="s">
        <v>206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tr">
        <f t="shared" si="6"/>
        <v>theater</v>
      </c>
      <c r="Q91" t="str">
        <f t="shared" si="7"/>
        <v>plays</v>
      </c>
      <c r="R91" t="s">
        <v>33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tr">
        <f t="shared" si="6"/>
        <v>theater</v>
      </c>
      <c r="Q92" t="str">
        <f t="shared" si="7"/>
        <v>plays</v>
      </c>
      <c r="R92" t="s">
        <v>33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tr">
        <f t="shared" si="6"/>
        <v>publishing</v>
      </c>
      <c r="Q93" t="str">
        <f t="shared" si="7"/>
        <v>translations</v>
      </c>
      <c r="R93" t="s">
        <v>206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tr">
        <f t="shared" si="6"/>
        <v>games</v>
      </c>
      <c r="Q94" t="str">
        <f t="shared" si="7"/>
        <v>video games</v>
      </c>
      <c r="R94" t="s">
        <v>89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tr">
        <f t="shared" si="6"/>
        <v>theater</v>
      </c>
      <c r="Q95" t="str">
        <f t="shared" si="7"/>
        <v>plays</v>
      </c>
      <c r="R95" t="s">
        <v>33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tr">
        <f t="shared" si="6"/>
        <v>technology</v>
      </c>
      <c r="Q96" t="str">
        <f t="shared" si="7"/>
        <v>web</v>
      </c>
      <c r="R96" t="s">
        <v>28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tr">
        <f t="shared" si="6"/>
        <v>film &amp; video</v>
      </c>
      <c r="Q97" t="str">
        <f t="shared" si="7"/>
        <v>documentary</v>
      </c>
      <c r="R97" t="s">
        <v>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tr">
        <f t="shared" si="6"/>
        <v>theater</v>
      </c>
      <c r="Q98" t="str">
        <f t="shared" si="7"/>
        <v>plays</v>
      </c>
      <c r="R98" t="s">
        <v>33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tr">
        <f t="shared" si="6"/>
        <v>food</v>
      </c>
      <c r="Q99" t="str">
        <f t="shared" si="7"/>
        <v>food trucks</v>
      </c>
      <c r="R99" t="s">
        <v>17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tr">
        <f t="shared" si="6"/>
        <v>games</v>
      </c>
      <c r="Q100" t="str">
        <f t="shared" si="7"/>
        <v>video games</v>
      </c>
      <c r="R100" t="s">
        <v>89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tr">
        <f t="shared" si="6"/>
        <v>theater</v>
      </c>
      <c r="Q101" t="str">
        <f t="shared" si="7"/>
        <v>plays</v>
      </c>
      <c r="R101" t="s">
        <v>33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tr">
        <f t="shared" si="6"/>
        <v>theater</v>
      </c>
      <c r="Q102" t="str">
        <f t="shared" si="7"/>
        <v>plays</v>
      </c>
      <c r="R102" t="s">
        <v>33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tr">
        <f t="shared" si="6"/>
        <v>music</v>
      </c>
      <c r="Q103" t="str">
        <f t="shared" si="7"/>
        <v>electric music</v>
      </c>
      <c r="R103" t="s">
        <v>50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tr">
        <f t="shared" si="6"/>
        <v>technology</v>
      </c>
      <c r="Q104" t="str">
        <f t="shared" si="7"/>
        <v>wearables</v>
      </c>
      <c r="R104" t="s">
        <v>65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tr">
        <f t="shared" si="6"/>
        <v>music</v>
      </c>
      <c r="Q105" t="str">
        <f t="shared" si="7"/>
        <v>electric music</v>
      </c>
      <c r="R105" t="s">
        <v>50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tr">
        <f t="shared" si="6"/>
        <v>music</v>
      </c>
      <c r="Q106" t="str">
        <f t="shared" si="7"/>
        <v>indie rock</v>
      </c>
      <c r="R106" t="s">
        <v>60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tr">
        <f t="shared" si="6"/>
        <v>technology</v>
      </c>
      <c r="Q107" t="str">
        <f t="shared" si="7"/>
        <v>web</v>
      </c>
      <c r="R107" t="s">
        <v>28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tr">
        <f t="shared" si="6"/>
        <v>theater</v>
      </c>
      <c r="Q108" t="str">
        <f t="shared" si="7"/>
        <v>plays</v>
      </c>
      <c r="R108" t="s">
        <v>33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tr">
        <f t="shared" si="6"/>
        <v>theater</v>
      </c>
      <c r="Q109" t="str">
        <f t="shared" si="7"/>
        <v>plays</v>
      </c>
      <c r="R109" t="s">
        <v>33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tr">
        <f t="shared" si="6"/>
        <v>film &amp; video</v>
      </c>
      <c r="Q110" t="str">
        <f t="shared" si="7"/>
        <v>documentary</v>
      </c>
      <c r="R110" t="s">
        <v>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tr">
        <f t="shared" si="6"/>
        <v>film &amp; video</v>
      </c>
      <c r="Q111" t="str">
        <f t="shared" si="7"/>
        <v>television</v>
      </c>
      <c r="R111" t="s">
        <v>269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tr">
        <f t="shared" si="6"/>
        <v>food</v>
      </c>
      <c r="Q112" t="str">
        <f t="shared" si="7"/>
        <v>food trucks</v>
      </c>
      <c r="R112" t="s">
        <v>17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tr">
        <f t="shared" si="6"/>
        <v>publishing</v>
      </c>
      <c r="Q113" t="str">
        <f t="shared" si="7"/>
        <v>radio &amp; podcasts</v>
      </c>
      <c r="R113" t="s">
        <v>133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tr">
        <f t="shared" si="6"/>
        <v>technology</v>
      </c>
      <c r="Q114" t="str">
        <f t="shared" si="7"/>
        <v>web</v>
      </c>
      <c r="R114" t="s">
        <v>28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tr">
        <f t="shared" si="6"/>
        <v>food</v>
      </c>
      <c r="Q115" t="str">
        <f t="shared" si="7"/>
        <v>food trucks</v>
      </c>
      <c r="R115" t="s">
        <v>17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tr">
        <f t="shared" si="6"/>
        <v>technology</v>
      </c>
      <c r="Q116" t="str">
        <f t="shared" si="7"/>
        <v>wearables</v>
      </c>
      <c r="R116" t="s">
        <v>65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tr">
        <f t="shared" si="6"/>
        <v>publishing</v>
      </c>
      <c r="Q117" t="str">
        <f t="shared" si="7"/>
        <v>fiction</v>
      </c>
      <c r="R117" t="s">
        <v>119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tr">
        <f t="shared" si="6"/>
        <v>theater</v>
      </c>
      <c r="Q118" t="str">
        <f t="shared" si="7"/>
        <v>plays</v>
      </c>
      <c r="R118" t="s">
        <v>33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tr">
        <f t="shared" si="6"/>
        <v>film &amp; video</v>
      </c>
      <c r="Q119" t="str">
        <f t="shared" si="7"/>
        <v>television</v>
      </c>
      <c r="R119" t="s">
        <v>269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tr">
        <f t="shared" si="6"/>
        <v>photography</v>
      </c>
      <c r="Q120" t="str">
        <f t="shared" si="7"/>
        <v>photography books</v>
      </c>
      <c r="R120" t="s">
        <v>122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tr">
        <f t="shared" si="6"/>
        <v>film &amp; video</v>
      </c>
      <c r="Q121" t="str">
        <f t="shared" si="7"/>
        <v>documentary</v>
      </c>
      <c r="R121" t="s">
        <v>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tr">
        <f t="shared" si="6"/>
        <v>games</v>
      </c>
      <c r="Q122" t="str">
        <f t="shared" si="7"/>
        <v>mobile games</v>
      </c>
      <c r="R122" t="s">
        <v>292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tr">
        <f t="shared" si="6"/>
        <v>games</v>
      </c>
      <c r="Q123" t="str">
        <f t="shared" si="7"/>
        <v>video games</v>
      </c>
      <c r="R123" t="s">
        <v>89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tr">
        <f t="shared" si="6"/>
        <v>publishing</v>
      </c>
      <c r="Q124" t="str">
        <f t="shared" si="7"/>
        <v>fiction</v>
      </c>
      <c r="R124" t="s">
        <v>119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tr">
        <f t="shared" si="6"/>
        <v>theater</v>
      </c>
      <c r="Q125" t="str">
        <f t="shared" si="7"/>
        <v>plays</v>
      </c>
      <c r="R125" t="s">
        <v>33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tr">
        <f t="shared" si="6"/>
        <v>photography</v>
      </c>
      <c r="Q126" t="str">
        <f t="shared" si="7"/>
        <v>photography books</v>
      </c>
      <c r="R126" t="s">
        <v>122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tr">
        <f t="shared" si="6"/>
        <v>theater</v>
      </c>
      <c r="Q127" t="str">
        <f t="shared" si="7"/>
        <v>plays</v>
      </c>
      <c r="R127" t="s">
        <v>33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tr">
        <f t="shared" si="6"/>
        <v>theater</v>
      </c>
      <c r="Q128" t="str">
        <f t="shared" si="7"/>
        <v>plays</v>
      </c>
      <c r="R128" t="s">
        <v>33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tr">
        <f t="shared" si="6"/>
        <v>theater</v>
      </c>
      <c r="Q129" t="str">
        <f t="shared" si="7"/>
        <v>plays</v>
      </c>
      <c r="R129" t="s">
        <v>33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tr">
        <f t="shared" si="6"/>
        <v>music</v>
      </c>
      <c r="Q130" t="str">
        <f t="shared" si="7"/>
        <v>rock</v>
      </c>
      <c r="R130" t="s">
        <v>23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E131/D131*100</f>
        <v>3.202693602693603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tr">
        <f t="shared" ref="P131:P194" si="10">_xlfn.TEXTBEFORE(R131,"/")</f>
        <v>food</v>
      </c>
      <c r="Q131" t="str">
        <f t="shared" ref="Q131:Q194" si="11">_xlfn.TEXTAFTER(R131,"/")</f>
        <v>food trucks</v>
      </c>
      <c r="R131" t="s">
        <v>17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tr">
        <f t="shared" si="10"/>
        <v>film &amp; video</v>
      </c>
      <c r="Q132" t="str">
        <f t="shared" si="11"/>
        <v>drama</v>
      </c>
      <c r="R132" t="s">
        <v>53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tr">
        <f t="shared" si="10"/>
        <v>technology</v>
      </c>
      <c r="Q133" t="str">
        <f t="shared" si="11"/>
        <v>web</v>
      </c>
      <c r="R133" t="s">
        <v>28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tr">
        <f t="shared" si="10"/>
        <v>theater</v>
      </c>
      <c r="Q134" t="str">
        <f t="shared" si="11"/>
        <v>plays</v>
      </c>
      <c r="R134" t="s">
        <v>33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tr">
        <f t="shared" si="10"/>
        <v>music</v>
      </c>
      <c r="Q135" t="str">
        <f t="shared" si="11"/>
        <v>world music</v>
      </c>
      <c r="R135" t="s">
        <v>319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tr">
        <f t="shared" si="10"/>
        <v>film &amp; video</v>
      </c>
      <c r="Q136" t="str">
        <f t="shared" si="11"/>
        <v>documentary</v>
      </c>
      <c r="R136" t="s">
        <v>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tr">
        <f t="shared" si="10"/>
        <v>theater</v>
      </c>
      <c r="Q137" t="str">
        <f t="shared" si="11"/>
        <v>plays</v>
      </c>
      <c r="R137" t="s">
        <v>33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tr">
        <f t="shared" si="10"/>
        <v>film &amp; video</v>
      </c>
      <c r="Q138" t="str">
        <f t="shared" si="11"/>
        <v>drama</v>
      </c>
      <c r="R138" t="s">
        <v>53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tr">
        <f t="shared" si="10"/>
        <v>publishing</v>
      </c>
      <c r="Q139" t="str">
        <f t="shared" si="11"/>
        <v>nonfiction</v>
      </c>
      <c r="R139" t="s">
        <v>68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tr">
        <f t="shared" si="10"/>
        <v>games</v>
      </c>
      <c r="Q140" t="str">
        <f t="shared" si="11"/>
        <v>mobile games</v>
      </c>
      <c r="R140" t="s">
        <v>292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tr">
        <f t="shared" si="10"/>
        <v>technology</v>
      </c>
      <c r="Q141" t="str">
        <f t="shared" si="11"/>
        <v>wearables</v>
      </c>
      <c r="R141" t="s">
        <v>65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tr">
        <f t="shared" si="10"/>
        <v>film &amp; video</v>
      </c>
      <c r="Q142" t="str">
        <f t="shared" si="11"/>
        <v>documentary</v>
      </c>
      <c r="R142" t="s">
        <v>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tr">
        <f t="shared" si="10"/>
        <v>technology</v>
      </c>
      <c r="Q143" t="str">
        <f t="shared" si="11"/>
        <v>web</v>
      </c>
      <c r="R143" t="s">
        <v>28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tr">
        <f t="shared" si="10"/>
        <v>technology</v>
      </c>
      <c r="Q144" t="str">
        <f t="shared" si="11"/>
        <v>web</v>
      </c>
      <c r="R144" t="s">
        <v>28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tr">
        <f t="shared" si="10"/>
        <v>music</v>
      </c>
      <c r="Q145" t="str">
        <f t="shared" si="11"/>
        <v>indie rock</v>
      </c>
      <c r="R145" t="s">
        <v>60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tr">
        <f t="shared" si="10"/>
        <v>theater</v>
      </c>
      <c r="Q146" t="str">
        <f t="shared" si="11"/>
        <v>plays</v>
      </c>
      <c r="R146" t="s">
        <v>33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tr">
        <f t="shared" si="10"/>
        <v>technology</v>
      </c>
      <c r="Q147" t="str">
        <f t="shared" si="11"/>
        <v>wearables</v>
      </c>
      <c r="R147" t="s">
        <v>65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tr">
        <f t="shared" si="10"/>
        <v>theater</v>
      </c>
      <c r="Q148" t="str">
        <f t="shared" si="11"/>
        <v>plays</v>
      </c>
      <c r="R148" t="s">
        <v>33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tr">
        <f t="shared" si="10"/>
        <v>theater</v>
      </c>
      <c r="Q149" t="str">
        <f t="shared" si="11"/>
        <v>plays</v>
      </c>
      <c r="R149" t="s">
        <v>33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tr">
        <f t="shared" si="10"/>
        <v>technology</v>
      </c>
      <c r="Q150" t="str">
        <f t="shared" si="11"/>
        <v>wearables</v>
      </c>
      <c r="R150" t="s">
        <v>65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tr">
        <f t="shared" si="10"/>
        <v>music</v>
      </c>
      <c r="Q151" t="str">
        <f t="shared" si="11"/>
        <v>indie rock</v>
      </c>
      <c r="R151" t="s">
        <v>60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tr">
        <f t="shared" si="10"/>
        <v>music</v>
      </c>
      <c r="Q152" t="str">
        <f t="shared" si="11"/>
        <v>rock</v>
      </c>
      <c r="R152" t="s">
        <v>23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tr">
        <f t="shared" si="10"/>
        <v>music</v>
      </c>
      <c r="Q153" t="str">
        <f t="shared" si="11"/>
        <v>electric music</v>
      </c>
      <c r="R153" t="s">
        <v>50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tr">
        <f t="shared" si="10"/>
        <v>music</v>
      </c>
      <c r="Q154" t="str">
        <f t="shared" si="11"/>
        <v>indie rock</v>
      </c>
      <c r="R154" t="s">
        <v>60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tr">
        <f t="shared" si="10"/>
        <v>theater</v>
      </c>
      <c r="Q155" t="str">
        <f t="shared" si="11"/>
        <v>plays</v>
      </c>
      <c r="R155" t="s">
        <v>33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tr">
        <f t="shared" si="10"/>
        <v>music</v>
      </c>
      <c r="Q156" t="str">
        <f t="shared" si="11"/>
        <v>indie rock</v>
      </c>
      <c r="R156" t="s">
        <v>60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tr">
        <f t="shared" si="10"/>
        <v>theater</v>
      </c>
      <c r="Q157" t="str">
        <f t="shared" si="11"/>
        <v>plays</v>
      </c>
      <c r="R157" t="s">
        <v>33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tr">
        <f t="shared" si="10"/>
        <v>music</v>
      </c>
      <c r="Q158" t="str">
        <f t="shared" si="11"/>
        <v>rock</v>
      </c>
      <c r="R158" t="s">
        <v>23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tr">
        <f t="shared" si="10"/>
        <v>photography</v>
      </c>
      <c r="Q159" t="str">
        <f t="shared" si="11"/>
        <v>photography books</v>
      </c>
      <c r="R159" t="s">
        <v>122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tr">
        <f t="shared" si="10"/>
        <v>music</v>
      </c>
      <c r="Q160" t="str">
        <f t="shared" si="11"/>
        <v>rock</v>
      </c>
      <c r="R160" t="s">
        <v>23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tr">
        <f t="shared" si="10"/>
        <v>theater</v>
      </c>
      <c r="Q161" t="str">
        <f t="shared" si="11"/>
        <v>plays</v>
      </c>
      <c r="R161" t="s">
        <v>33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tr">
        <f t="shared" si="10"/>
        <v>technology</v>
      </c>
      <c r="Q162" t="str">
        <f t="shared" si="11"/>
        <v>wearables</v>
      </c>
      <c r="R162" t="s">
        <v>65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tr">
        <f t="shared" si="10"/>
        <v>technology</v>
      </c>
      <c r="Q163" t="str">
        <f t="shared" si="11"/>
        <v>web</v>
      </c>
      <c r="R163" t="s">
        <v>28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tr">
        <f t="shared" si="10"/>
        <v>music</v>
      </c>
      <c r="Q164" t="str">
        <f t="shared" si="11"/>
        <v>rock</v>
      </c>
      <c r="R164" t="s">
        <v>23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tr">
        <f t="shared" si="10"/>
        <v>photography</v>
      </c>
      <c r="Q165" t="str">
        <f t="shared" si="11"/>
        <v>photography books</v>
      </c>
      <c r="R165" t="s">
        <v>122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tr">
        <f t="shared" si="10"/>
        <v>theater</v>
      </c>
      <c r="Q166" t="str">
        <f t="shared" si="11"/>
        <v>plays</v>
      </c>
      <c r="R166" t="s">
        <v>33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tr">
        <f t="shared" si="10"/>
        <v>technology</v>
      </c>
      <c r="Q167" t="str">
        <f t="shared" si="11"/>
        <v>web</v>
      </c>
      <c r="R167" t="s">
        <v>28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tr">
        <f t="shared" si="10"/>
        <v>photography</v>
      </c>
      <c r="Q168" t="str">
        <f t="shared" si="11"/>
        <v>photography books</v>
      </c>
      <c r="R168" t="s">
        <v>122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tr">
        <f t="shared" si="10"/>
        <v>theater</v>
      </c>
      <c r="Q169" t="str">
        <f t="shared" si="11"/>
        <v>plays</v>
      </c>
      <c r="R169" t="s">
        <v>33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tr">
        <f t="shared" si="10"/>
        <v>music</v>
      </c>
      <c r="Q170" t="str">
        <f t="shared" si="11"/>
        <v>indie rock</v>
      </c>
      <c r="R170" t="s">
        <v>60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tr">
        <f t="shared" si="10"/>
        <v>film &amp; video</v>
      </c>
      <c r="Q171" t="str">
        <f t="shared" si="11"/>
        <v>shorts</v>
      </c>
      <c r="R171" t="s">
        <v>100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tr">
        <f t="shared" si="10"/>
        <v>music</v>
      </c>
      <c r="Q172" t="str">
        <f t="shared" si="11"/>
        <v>indie rock</v>
      </c>
      <c r="R172" t="s">
        <v>60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tr">
        <f t="shared" si="10"/>
        <v>publishing</v>
      </c>
      <c r="Q173" t="str">
        <f t="shared" si="11"/>
        <v>translations</v>
      </c>
      <c r="R173" t="s">
        <v>206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tr">
        <f t="shared" si="10"/>
        <v>film &amp; video</v>
      </c>
      <c r="Q174" t="str">
        <f t="shared" si="11"/>
        <v>documentary</v>
      </c>
      <c r="R174" t="s">
        <v>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tr">
        <f t="shared" si="10"/>
        <v>theater</v>
      </c>
      <c r="Q175" t="str">
        <f t="shared" si="11"/>
        <v>plays</v>
      </c>
      <c r="R175" t="s">
        <v>33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tr">
        <f t="shared" si="10"/>
        <v>technology</v>
      </c>
      <c r="Q176" t="str">
        <f t="shared" si="11"/>
        <v>wearables</v>
      </c>
      <c r="R176" t="s">
        <v>65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tr">
        <f t="shared" si="10"/>
        <v>theater</v>
      </c>
      <c r="Q177" t="str">
        <f t="shared" si="11"/>
        <v>plays</v>
      </c>
      <c r="R177" t="s">
        <v>33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tr">
        <f t="shared" si="10"/>
        <v>theater</v>
      </c>
      <c r="Q178" t="str">
        <f t="shared" si="11"/>
        <v>plays</v>
      </c>
      <c r="R178" t="s">
        <v>33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tr">
        <f t="shared" si="10"/>
        <v>theater</v>
      </c>
      <c r="Q179" t="str">
        <f t="shared" si="11"/>
        <v>plays</v>
      </c>
      <c r="R179" t="s">
        <v>33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tr">
        <f t="shared" si="10"/>
        <v>food</v>
      </c>
      <c r="Q180" t="str">
        <f t="shared" si="11"/>
        <v>food trucks</v>
      </c>
      <c r="R180" t="s">
        <v>17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tr">
        <f t="shared" si="10"/>
        <v>theater</v>
      </c>
      <c r="Q181" t="str">
        <f t="shared" si="11"/>
        <v>plays</v>
      </c>
      <c r="R181" t="s">
        <v>33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tr">
        <f t="shared" si="10"/>
        <v>technology</v>
      </c>
      <c r="Q182" t="str">
        <f t="shared" si="11"/>
        <v>wearables</v>
      </c>
      <c r="R182" t="s">
        <v>65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tr">
        <f t="shared" si="10"/>
        <v>technology</v>
      </c>
      <c r="Q183" t="str">
        <f t="shared" si="11"/>
        <v>web</v>
      </c>
      <c r="R183" t="s">
        <v>28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tr">
        <f t="shared" si="10"/>
        <v>theater</v>
      </c>
      <c r="Q184" t="str">
        <f t="shared" si="11"/>
        <v>plays</v>
      </c>
      <c r="R184" t="s">
        <v>33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tr">
        <f t="shared" si="10"/>
        <v>music</v>
      </c>
      <c r="Q185" t="str">
        <f t="shared" si="11"/>
        <v>rock</v>
      </c>
      <c r="R185" t="s">
        <v>23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tr">
        <f t="shared" si="10"/>
        <v>theater</v>
      </c>
      <c r="Q186" t="str">
        <f t="shared" si="11"/>
        <v>plays</v>
      </c>
      <c r="R186" t="s">
        <v>33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tr">
        <f t="shared" si="10"/>
        <v>film &amp; video</v>
      </c>
      <c r="Q187" t="str">
        <f t="shared" si="11"/>
        <v>television</v>
      </c>
      <c r="R187" t="s">
        <v>269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tr">
        <f t="shared" si="10"/>
        <v>theater</v>
      </c>
      <c r="Q188" t="str">
        <f t="shared" si="11"/>
        <v>plays</v>
      </c>
      <c r="R188" t="s">
        <v>33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tr">
        <f t="shared" si="10"/>
        <v>film &amp; video</v>
      </c>
      <c r="Q189" t="str">
        <f t="shared" si="11"/>
        <v>shorts</v>
      </c>
      <c r="R189" t="s">
        <v>100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tr">
        <f t="shared" si="10"/>
        <v>theater</v>
      </c>
      <c r="Q190" t="str">
        <f t="shared" si="11"/>
        <v>plays</v>
      </c>
      <c r="R190" t="s">
        <v>33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tr">
        <f t="shared" si="10"/>
        <v>theater</v>
      </c>
      <c r="Q191" t="str">
        <f t="shared" si="11"/>
        <v>plays</v>
      </c>
      <c r="R191" t="s">
        <v>33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tr">
        <f t="shared" si="10"/>
        <v>theater</v>
      </c>
      <c r="Q192" t="str">
        <f t="shared" si="11"/>
        <v>plays</v>
      </c>
      <c r="R192" t="s">
        <v>33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tr">
        <f t="shared" si="10"/>
        <v>theater</v>
      </c>
      <c r="Q193" t="str">
        <f t="shared" si="11"/>
        <v>plays</v>
      </c>
      <c r="R193" t="s">
        <v>33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tr">
        <f t="shared" si="10"/>
        <v>music</v>
      </c>
      <c r="Q194" t="str">
        <f t="shared" si="11"/>
        <v>rock</v>
      </c>
      <c r="R194" t="s">
        <v>23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E195/D195*100</f>
        <v>45.636363636363633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tr">
        <f t="shared" ref="P195:P258" si="14">_xlfn.TEXTBEFORE(R195,"/")</f>
        <v>music</v>
      </c>
      <c r="Q195" t="str">
        <f t="shared" ref="Q195:Q258" si="15">_xlfn.TEXTAFTER(R195,"/")</f>
        <v>indie rock</v>
      </c>
      <c r="R195" t="s">
        <v>60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tr">
        <f t="shared" si="14"/>
        <v>music</v>
      </c>
      <c r="Q196" t="str">
        <f t="shared" si="15"/>
        <v>metal</v>
      </c>
      <c r="R196" t="s">
        <v>148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tr">
        <f t="shared" si="14"/>
        <v>music</v>
      </c>
      <c r="Q197" t="str">
        <f t="shared" si="15"/>
        <v>electric music</v>
      </c>
      <c r="R197" t="s">
        <v>50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tr">
        <f t="shared" si="14"/>
        <v>technology</v>
      </c>
      <c r="Q198" t="str">
        <f t="shared" si="15"/>
        <v>wearables</v>
      </c>
      <c r="R198" t="s">
        <v>65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tr">
        <f t="shared" si="14"/>
        <v>film &amp; video</v>
      </c>
      <c r="Q199" t="str">
        <f t="shared" si="15"/>
        <v>drama</v>
      </c>
      <c r="R199" t="s">
        <v>53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tr">
        <f t="shared" si="14"/>
        <v>music</v>
      </c>
      <c r="Q200" t="str">
        <f t="shared" si="15"/>
        <v>electric music</v>
      </c>
      <c r="R200" t="s">
        <v>50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tr">
        <f t="shared" si="14"/>
        <v>music</v>
      </c>
      <c r="Q201" t="str">
        <f t="shared" si="15"/>
        <v>rock</v>
      </c>
      <c r="R201" t="s">
        <v>23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tr">
        <f t="shared" si="14"/>
        <v>theater</v>
      </c>
      <c r="Q202" t="str">
        <f t="shared" si="15"/>
        <v>plays</v>
      </c>
      <c r="R202" t="s">
        <v>33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tr">
        <f t="shared" si="14"/>
        <v>technology</v>
      </c>
      <c r="Q203" t="str">
        <f t="shared" si="15"/>
        <v>web</v>
      </c>
      <c r="R203" t="s">
        <v>28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tr">
        <f t="shared" si="14"/>
        <v>food</v>
      </c>
      <c r="Q204" t="str">
        <f t="shared" si="15"/>
        <v>food trucks</v>
      </c>
      <c r="R204" t="s">
        <v>17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tr">
        <f t="shared" si="14"/>
        <v>theater</v>
      </c>
      <c r="Q205" t="str">
        <f t="shared" si="15"/>
        <v>plays</v>
      </c>
      <c r="R205" t="s">
        <v>33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tr">
        <f t="shared" si="14"/>
        <v>music</v>
      </c>
      <c r="Q206" t="str">
        <f t="shared" si="15"/>
        <v>jazz</v>
      </c>
      <c r="R206" t="s">
        <v>159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tr">
        <f t="shared" si="14"/>
        <v>theater</v>
      </c>
      <c r="Q207" t="str">
        <f t="shared" si="15"/>
        <v>plays</v>
      </c>
      <c r="R207" t="s">
        <v>33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tr">
        <f t="shared" si="14"/>
        <v>publishing</v>
      </c>
      <c r="Q208" t="str">
        <f t="shared" si="15"/>
        <v>fiction</v>
      </c>
      <c r="R208" t="s">
        <v>119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tr">
        <f t="shared" si="14"/>
        <v>music</v>
      </c>
      <c r="Q209" t="str">
        <f t="shared" si="15"/>
        <v>rock</v>
      </c>
      <c r="R209" t="s">
        <v>23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tr">
        <f t="shared" si="14"/>
        <v>film &amp; video</v>
      </c>
      <c r="Q210" t="str">
        <f t="shared" si="15"/>
        <v>documentary</v>
      </c>
      <c r="R210" t="s">
        <v>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tr">
        <f t="shared" si="14"/>
        <v>film &amp; video</v>
      </c>
      <c r="Q211" t="str">
        <f t="shared" si="15"/>
        <v>documentary</v>
      </c>
      <c r="R211" t="s">
        <v>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tr">
        <f t="shared" si="14"/>
        <v>film &amp; video</v>
      </c>
      <c r="Q212" t="str">
        <f t="shared" si="15"/>
        <v>science fiction</v>
      </c>
      <c r="R212" t="s">
        <v>474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tr">
        <f t="shared" si="14"/>
        <v>theater</v>
      </c>
      <c r="Q213" t="str">
        <f t="shared" si="15"/>
        <v>plays</v>
      </c>
      <c r="R213" t="s">
        <v>33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tr">
        <f t="shared" si="14"/>
        <v>theater</v>
      </c>
      <c r="Q214" t="str">
        <f t="shared" si="15"/>
        <v>plays</v>
      </c>
      <c r="R214" t="s">
        <v>33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tr">
        <f t="shared" si="14"/>
        <v>music</v>
      </c>
      <c r="Q215" t="str">
        <f t="shared" si="15"/>
        <v>indie rock</v>
      </c>
      <c r="R215" t="s">
        <v>60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tr">
        <f t="shared" si="14"/>
        <v>music</v>
      </c>
      <c r="Q216" t="str">
        <f t="shared" si="15"/>
        <v>rock</v>
      </c>
      <c r="R216" t="s">
        <v>23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tr">
        <f t="shared" si="14"/>
        <v>theater</v>
      </c>
      <c r="Q217" t="str">
        <f t="shared" si="15"/>
        <v>plays</v>
      </c>
      <c r="R217" t="s">
        <v>33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tr">
        <f t="shared" si="14"/>
        <v>theater</v>
      </c>
      <c r="Q218" t="str">
        <f t="shared" si="15"/>
        <v>plays</v>
      </c>
      <c r="R218" t="s">
        <v>33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tr">
        <f t="shared" si="14"/>
        <v>film &amp; video</v>
      </c>
      <c r="Q219" t="str">
        <f t="shared" si="15"/>
        <v>science fiction</v>
      </c>
      <c r="R219" t="s">
        <v>474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tr">
        <f t="shared" si="14"/>
        <v>film &amp; video</v>
      </c>
      <c r="Q220" t="str">
        <f t="shared" si="15"/>
        <v>shorts</v>
      </c>
      <c r="R220" t="s">
        <v>100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tr">
        <f t="shared" si="14"/>
        <v>film &amp; video</v>
      </c>
      <c r="Q221" t="str">
        <f t="shared" si="15"/>
        <v>animation</v>
      </c>
      <c r="R221" t="s">
        <v>71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tr">
        <f t="shared" si="14"/>
        <v>theater</v>
      </c>
      <c r="Q222" t="str">
        <f t="shared" si="15"/>
        <v>plays</v>
      </c>
      <c r="R222" t="s">
        <v>33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tr">
        <f t="shared" si="14"/>
        <v>food</v>
      </c>
      <c r="Q223" t="str">
        <f t="shared" si="15"/>
        <v>food trucks</v>
      </c>
      <c r="R223" t="s">
        <v>17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tr">
        <f t="shared" si="14"/>
        <v>photography</v>
      </c>
      <c r="Q224" t="str">
        <f t="shared" si="15"/>
        <v>photography books</v>
      </c>
      <c r="R224" t="s">
        <v>122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tr">
        <f t="shared" si="14"/>
        <v>theater</v>
      </c>
      <c r="Q225" t="str">
        <f t="shared" si="15"/>
        <v>plays</v>
      </c>
      <c r="R225" t="s">
        <v>33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tr">
        <f t="shared" si="14"/>
        <v>film &amp; video</v>
      </c>
      <c r="Q226" t="str">
        <f t="shared" si="15"/>
        <v>science fiction</v>
      </c>
      <c r="R226" t="s">
        <v>474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tr">
        <f t="shared" si="14"/>
        <v>music</v>
      </c>
      <c r="Q227" t="str">
        <f t="shared" si="15"/>
        <v>rock</v>
      </c>
      <c r="R227" t="s">
        <v>23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tr">
        <f t="shared" si="14"/>
        <v>photography</v>
      </c>
      <c r="Q228" t="str">
        <f t="shared" si="15"/>
        <v>photography books</v>
      </c>
      <c r="R228" t="s">
        <v>122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tr">
        <f t="shared" si="14"/>
        <v>games</v>
      </c>
      <c r="Q229" t="str">
        <f t="shared" si="15"/>
        <v>mobile games</v>
      </c>
      <c r="R229" t="s">
        <v>292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tr">
        <f t="shared" si="14"/>
        <v>film &amp; video</v>
      </c>
      <c r="Q230" t="str">
        <f t="shared" si="15"/>
        <v>animation</v>
      </c>
      <c r="R230" t="s">
        <v>71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tr">
        <f t="shared" si="14"/>
        <v>games</v>
      </c>
      <c r="Q231" t="str">
        <f t="shared" si="15"/>
        <v>mobile games</v>
      </c>
      <c r="R231" t="s">
        <v>292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tr">
        <f t="shared" si="14"/>
        <v>games</v>
      </c>
      <c r="Q232" t="str">
        <f t="shared" si="15"/>
        <v>video games</v>
      </c>
      <c r="R232" t="s">
        <v>89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tr">
        <f t="shared" si="14"/>
        <v>theater</v>
      </c>
      <c r="Q233" t="str">
        <f t="shared" si="15"/>
        <v>plays</v>
      </c>
      <c r="R233" t="s">
        <v>33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tr">
        <f t="shared" si="14"/>
        <v>theater</v>
      </c>
      <c r="Q234" t="str">
        <f t="shared" si="15"/>
        <v>plays</v>
      </c>
      <c r="R234" t="s">
        <v>33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tr">
        <f t="shared" si="14"/>
        <v>film &amp; video</v>
      </c>
      <c r="Q235" t="str">
        <f t="shared" si="15"/>
        <v>animation</v>
      </c>
      <c r="R235" t="s">
        <v>71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tr">
        <f t="shared" si="14"/>
        <v>games</v>
      </c>
      <c r="Q236" t="str">
        <f t="shared" si="15"/>
        <v>video games</v>
      </c>
      <c r="R236" t="s">
        <v>89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tr">
        <f t="shared" si="14"/>
        <v>film &amp; video</v>
      </c>
      <c r="Q237" t="str">
        <f t="shared" si="15"/>
        <v>animation</v>
      </c>
      <c r="R237" t="s">
        <v>71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tr">
        <f t="shared" si="14"/>
        <v>music</v>
      </c>
      <c r="Q238" t="str">
        <f t="shared" si="15"/>
        <v>rock</v>
      </c>
      <c r="R238" t="s">
        <v>23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tr">
        <f t="shared" si="14"/>
        <v>film &amp; video</v>
      </c>
      <c r="Q239" t="str">
        <f t="shared" si="15"/>
        <v>animation</v>
      </c>
      <c r="R239" t="s">
        <v>71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tr">
        <f t="shared" si="14"/>
        <v>theater</v>
      </c>
      <c r="Q240" t="str">
        <f t="shared" si="15"/>
        <v>plays</v>
      </c>
      <c r="R240" t="s">
        <v>33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tr">
        <f t="shared" si="14"/>
        <v>technology</v>
      </c>
      <c r="Q241" t="str">
        <f t="shared" si="15"/>
        <v>wearables</v>
      </c>
      <c r="R241" t="s">
        <v>65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tr">
        <f t="shared" si="14"/>
        <v>theater</v>
      </c>
      <c r="Q242" t="str">
        <f t="shared" si="15"/>
        <v>plays</v>
      </c>
      <c r="R242" t="s">
        <v>33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tr">
        <f t="shared" si="14"/>
        <v>publishing</v>
      </c>
      <c r="Q243" t="str">
        <f t="shared" si="15"/>
        <v>nonfiction</v>
      </c>
      <c r="R243" t="s">
        <v>68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tr">
        <f t="shared" si="14"/>
        <v>music</v>
      </c>
      <c r="Q244" t="str">
        <f t="shared" si="15"/>
        <v>rock</v>
      </c>
      <c r="R244" t="s">
        <v>23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tr">
        <f t="shared" si="14"/>
        <v>theater</v>
      </c>
      <c r="Q245" t="str">
        <f t="shared" si="15"/>
        <v>plays</v>
      </c>
      <c r="R245" t="s">
        <v>33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tr">
        <f t="shared" si="14"/>
        <v>theater</v>
      </c>
      <c r="Q246" t="str">
        <f t="shared" si="15"/>
        <v>plays</v>
      </c>
      <c r="R246" t="s">
        <v>33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tr">
        <f t="shared" si="14"/>
        <v>theater</v>
      </c>
      <c r="Q247" t="str">
        <f t="shared" si="15"/>
        <v>plays</v>
      </c>
      <c r="R247" t="s">
        <v>33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tr">
        <f t="shared" si="14"/>
        <v>technology</v>
      </c>
      <c r="Q248" t="str">
        <f t="shared" si="15"/>
        <v>web</v>
      </c>
      <c r="R248" t="s">
        <v>28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tr">
        <f t="shared" si="14"/>
        <v>publishing</v>
      </c>
      <c r="Q249" t="str">
        <f t="shared" si="15"/>
        <v>fiction</v>
      </c>
      <c r="R249" t="s">
        <v>119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tr">
        <f t="shared" si="14"/>
        <v>games</v>
      </c>
      <c r="Q250" t="str">
        <f t="shared" si="15"/>
        <v>mobile games</v>
      </c>
      <c r="R250" t="s">
        <v>292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tr">
        <f t="shared" si="14"/>
        <v>publishing</v>
      </c>
      <c r="Q251" t="str">
        <f t="shared" si="15"/>
        <v>translations</v>
      </c>
      <c r="R251" t="s">
        <v>206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tr">
        <f t="shared" si="14"/>
        <v>music</v>
      </c>
      <c r="Q252" t="str">
        <f t="shared" si="15"/>
        <v>rock</v>
      </c>
      <c r="R252" t="s">
        <v>23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tr">
        <f t="shared" si="14"/>
        <v>theater</v>
      </c>
      <c r="Q253" t="str">
        <f t="shared" si="15"/>
        <v>plays</v>
      </c>
      <c r="R253" t="s">
        <v>33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tr">
        <f t="shared" si="14"/>
        <v>theater</v>
      </c>
      <c r="Q254" t="str">
        <f t="shared" si="15"/>
        <v>plays</v>
      </c>
      <c r="R254" t="s">
        <v>33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tr">
        <f t="shared" si="14"/>
        <v>film &amp; video</v>
      </c>
      <c r="Q255" t="str">
        <f t="shared" si="15"/>
        <v>drama</v>
      </c>
      <c r="R255" t="s">
        <v>53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tr">
        <f t="shared" si="14"/>
        <v>publishing</v>
      </c>
      <c r="Q256" t="str">
        <f t="shared" si="15"/>
        <v>nonfiction</v>
      </c>
      <c r="R256" t="s">
        <v>68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tr">
        <f t="shared" si="14"/>
        <v>music</v>
      </c>
      <c r="Q257" t="str">
        <f t="shared" si="15"/>
        <v>rock</v>
      </c>
      <c r="R257" t="s">
        <v>23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tr">
        <f t="shared" si="14"/>
        <v>music</v>
      </c>
      <c r="Q258" t="str">
        <f t="shared" si="15"/>
        <v>rock</v>
      </c>
      <c r="R258" t="s">
        <v>23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E259/D259*100</f>
        <v>146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tr">
        <f t="shared" ref="P259:P322" si="18">_xlfn.TEXTBEFORE(R259,"/")</f>
        <v>theater</v>
      </c>
      <c r="Q259" t="str">
        <f t="shared" ref="Q259:Q322" si="19">_xlfn.TEXTAFTER(R259,"/")</f>
        <v>plays</v>
      </c>
      <c r="R259" t="s">
        <v>33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tr">
        <f t="shared" si="18"/>
        <v>theater</v>
      </c>
      <c r="Q260" t="str">
        <f t="shared" si="19"/>
        <v>plays</v>
      </c>
      <c r="R260" t="s">
        <v>33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tr">
        <f t="shared" si="18"/>
        <v>photography</v>
      </c>
      <c r="Q261" t="str">
        <f t="shared" si="19"/>
        <v>photography books</v>
      </c>
      <c r="R261" t="s">
        <v>122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tr">
        <f t="shared" si="18"/>
        <v>music</v>
      </c>
      <c r="Q262" t="str">
        <f t="shared" si="19"/>
        <v>rock</v>
      </c>
      <c r="R262" t="s">
        <v>23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tr">
        <f t="shared" si="18"/>
        <v>music</v>
      </c>
      <c r="Q263" t="str">
        <f t="shared" si="19"/>
        <v>rock</v>
      </c>
      <c r="R263" t="s">
        <v>23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tr">
        <f t="shared" si="18"/>
        <v>music</v>
      </c>
      <c r="Q264" t="str">
        <f t="shared" si="19"/>
        <v>indie rock</v>
      </c>
      <c r="R264" t="s">
        <v>60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tr">
        <f t="shared" si="18"/>
        <v>photography</v>
      </c>
      <c r="Q265" t="str">
        <f t="shared" si="19"/>
        <v>photography books</v>
      </c>
      <c r="R265" t="s">
        <v>122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tr">
        <f t="shared" si="18"/>
        <v>theater</v>
      </c>
      <c r="Q266" t="str">
        <f t="shared" si="19"/>
        <v>plays</v>
      </c>
      <c r="R266" t="s">
        <v>33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tr">
        <f t="shared" si="18"/>
        <v>theater</v>
      </c>
      <c r="Q267" t="str">
        <f t="shared" si="19"/>
        <v>plays</v>
      </c>
      <c r="R267" t="s">
        <v>33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tr">
        <f t="shared" si="18"/>
        <v>music</v>
      </c>
      <c r="Q268" t="str">
        <f t="shared" si="19"/>
        <v>jazz</v>
      </c>
      <c r="R268" t="s">
        <v>159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tr">
        <f t="shared" si="18"/>
        <v>theater</v>
      </c>
      <c r="Q269" t="str">
        <f t="shared" si="19"/>
        <v>plays</v>
      </c>
      <c r="R269" t="s">
        <v>33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tr">
        <f t="shared" si="18"/>
        <v>film &amp; video</v>
      </c>
      <c r="Q270" t="str">
        <f t="shared" si="19"/>
        <v>documentary</v>
      </c>
      <c r="R270" t="s">
        <v>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tr">
        <f t="shared" si="18"/>
        <v>film &amp; video</v>
      </c>
      <c r="Q271" t="str">
        <f t="shared" si="19"/>
        <v>television</v>
      </c>
      <c r="R271" t="s">
        <v>269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tr">
        <f t="shared" si="18"/>
        <v>games</v>
      </c>
      <c r="Q272" t="str">
        <f t="shared" si="19"/>
        <v>video games</v>
      </c>
      <c r="R272" t="s">
        <v>89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tr">
        <f t="shared" si="18"/>
        <v>photography</v>
      </c>
      <c r="Q273" t="str">
        <f t="shared" si="19"/>
        <v>photography books</v>
      </c>
      <c r="R273" t="s">
        <v>122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tr">
        <f t="shared" si="18"/>
        <v>theater</v>
      </c>
      <c r="Q274" t="str">
        <f t="shared" si="19"/>
        <v>plays</v>
      </c>
      <c r="R274" t="s">
        <v>33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tr">
        <f t="shared" si="18"/>
        <v>theater</v>
      </c>
      <c r="Q275" t="str">
        <f t="shared" si="19"/>
        <v>plays</v>
      </c>
      <c r="R275" t="s">
        <v>33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tr">
        <f t="shared" si="18"/>
        <v>theater</v>
      </c>
      <c r="Q276" t="str">
        <f t="shared" si="19"/>
        <v>plays</v>
      </c>
      <c r="R276" t="s">
        <v>33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tr">
        <f t="shared" si="18"/>
        <v>publishing</v>
      </c>
      <c r="Q277" t="str">
        <f t="shared" si="19"/>
        <v>translations</v>
      </c>
      <c r="R277" t="s">
        <v>206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tr">
        <f t="shared" si="18"/>
        <v>games</v>
      </c>
      <c r="Q278" t="str">
        <f t="shared" si="19"/>
        <v>video games</v>
      </c>
      <c r="R278" t="s">
        <v>89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tr">
        <f t="shared" si="18"/>
        <v>theater</v>
      </c>
      <c r="Q279" t="str">
        <f t="shared" si="19"/>
        <v>plays</v>
      </c>
      <c r="R279" t="s">
        <v>33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tr">
        <f t="shared" si="18"/>
        <v>technology</v>
      </c>
      <c r="Q280" t="str">
        <f t="shared" si="19"/>
        <v>web</v>
      </c>
      <c r="R280" t="s">
        <v>28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tr">
        <f t="shared" si="18"/>
        <v>theater</v>
      </c>
      <c r="Q281" t="str">
        <f t="shared" si="19"/>
        <v>plays</v>
      </c>
      <c r="R281" t="s">
        <v>33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tr">
        <f t="shared" si="18"/>
        <v>film &amp; video</v>
      </c>
      <c r="Q282" t="str">
        <f t="shared" si="19"/>
        <v>animation</v>
      </c>
      <c r="R282" t="s">
        <v>71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tr">
        <f t="shared" si="18"/>
        <v>theater</v>
      </c>
      <c r="Q283" t="str">
        <f t="shared" si="19"/>
        <v>plays</v>
      </c>
      <c r="R283" t="s">
        <v>33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tr">
        <f t="shared" si="18"/>
        <v>film &amp; video</v>
      </c>
      <c r="Q284" t="str">
        <f t="shared" si="19"/>
        <v>television</v>
      </c>
      <c r="R284" t="s">
        <v>269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tr">
        <f t="shared" si="18"/>
        <v>music</v>
      </c>
      <c r="Q285" t="str">
        <f t="shared" si="19"/>
        <v>rock</v>
      </c>
      <c r="R285" t="s">
        <v>23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tr">
        <f t="shared" si="18"/>
        <v>technology</v>
      </c>
      <c r="Q286" t="str">
        <f t="shared" si="19"/>
        <v>web</v>
      </c>
      <c r="R286" t="s">
        <v>28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tr">
        <f t="shared" si="18"/>
        <v>theater</v>
      </c>
      <c r="Q287" t="str">
        <f t="shared" si="19"/>
        <v>plays</v>
      </c>
      <c r="R287" t="s">
        <v>33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tr">
        <f t="shared" si="18"/>
        <v>theater</v>
      </c>
      <c r="Q288" t="str">
        <f t="shared" si="19"/>
        <v>plays</v>
      </c>
      <c r="R288" t="s">
        <v>33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tr">
        <f t="shared" si="18"/>
        <v>music</v>
      </c>
      <c r="Q289" t="str">
        <f t="shared" si="19"/>
        <v>electric music</v>
      </c>
      <c r="R289" t="s">
        <v>50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tr">
        <f t="shared" si="18"/>
        <v>music</v>
      </c>
      <c r="Q290" t="str">
        <f t="shared" si="19"/>
        <v>metal</v>
      </c>
      <c r="R290" t="s">
        <v>148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tr">
        <f t="shared" si="18"/>
        <v>theater</v>
      </c>
      <c r="Q291" t="str">
        <f t="shared" si="19"/>
        <v>plays</v>
      </c>
      <c r="R291" t="s">
        <v>33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tr">
        <f t="shared" si="18"/>
        <v>film &amp; video</v>
      </c>
      <c r="Q292" t="str">
        <f t="shared" si="19"/>
        <v>documentary</v>
      </c>
      <c r="R292" t="s">
        <v>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tr">
        <f t="shared" si="18"/>
        <v>technology</v>
      </c>
      <c r="Q293" t="str">
        <f t="shared" si="19"/>
        <v>web</v>
      </c>
      <c r="R293" t="s">
        <v>28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tr">
        <f t="shared" si="18"/>
        <v>food</v>
      </c>
      <c r="Q294" t="str">
        <f t="shared" si="19"/>
        <v>food trucks</v>
      </c>
      <c r="R294" t="s">
        <v>17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tr">
        <f t="shared" si="18"/>
        <v>theater</v>
      </c>
      <c r="Q295" t="str">
        <f t="shared" si="19"/>
        <v>plays</v>
      </c>
      <c r="R295" t="s">
        <v>33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tr">
        <f t="shared" si="18"/>
        <v>theater</v>
      </c>
      <c r="Q296" t="str">
        <f t="shared" si="19"/>
        <v>plays</v>
      </c>
      <c r="R296" t="s">
        <v>33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tr">
        <f t="shared" si="18"/>
        <v>theater</v>
      </c>
      <c r="Q297" t="str">
        <f t="shared" si="19"/>
        <v>plays</v>
      </c>
      <c r="R297" t="s">
        <v>33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tr">
        <f t="shared" si="18"/>
        <v>theater</v>
      </c>
      <c r="Q298" t="str">
        <f t="shared" si="19"/>
        <v>plays</v>
      </c>
      <c r="R298" t="s">
        <v>33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tr">
        <f t="shared" si="18"/>
        <v>theater</v>
      </c>
      <c r="Q299" t="str">
        <f t="shared" si="19"/>
        <v>plays</v>
      </c>
      <c r="R299" t="s">
        <v>33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tr">
        <f t="shared" si="18"/>
        <v>music</v>
      </c>
      <c r="Q300" t="str">
        <f t="shared" si="19"/>
        <v>rock</v>
      </c>
      <c r="R300" t="s">
        <v>23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tr">
        <f t="shared" si="18"/>
        <v>food</v>
      </c>
      <c r="Q301" t="str">
        <f t="shared" si="19"/>
        <v>food trucks</v>
      </c>
      <c r="R301" t="s">
        <v>17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tr">
        <f t="shared" si="18"/>
        <v>publishing</v>
      </c>
      <c r="Q302" t="str">
        <f t="shared" si="19"/>
        <v>nonfiction</v>
      </c>
      <c r="R302" t="s">
        <v>68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tr">
        <f t="shared" si="18"/>
        <v>film &amp; video</v>
      </c>
      <c r="Q303" t="str">
        <f t="shared" si="19"/>
        <v>documentary</v>
      </c>
      <c r="R303" t="s">
        <v>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tr">
        <f t="shared" si="18"/>
        <v>theater</v>
      </c>
      <c r="Q304" t="str">
        <f t="shared" si="19"/>
        <v>plays</v>
      </c>
      <c r="R304" t="s">
        <v>33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tr">
        <f t="shared" si="18"/>
        <v>music</v>
      </c>
      <c r="Q305" t="str">
        <f t="shared" si="19"/>
        <v>indie rock</v>
      </c>
      <c r="R305" t="s">
        <v>60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tr">
        <f t="shared" si="18"/>
        <v>film &amp; video</v>
      </c>
      <c r="Q306" t="str">
        <f t="shared" si="19"/>
        <v>documentary</v>
      </c>
      <c r="R306" t="s">
        <v>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tr">
        <f t="shared" si="18"/>
        <v>theater</v>
      </c>
      <c r="Q307" t="str">
        <f t="shared" si="19"/>
        <v>plays</v>
      </c>
      <c r="R307" t="s">
        <v>33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tr">
        <f t="shared" si="18"/>
        <v>theater</v>
      </c>
      <c r="Q308" t="str">
        <f t="shared" si="19"/>
        <v>plays</v>
      </c>
      <c r="R308" t="s">
        <v>33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tr">
        <f t="shared" si="18"/>
        <v>publishing</v>
      </c>
      <c r="Q309" t="str">
        <f t="shared" si="19"/>
        <v>fiction</v>
      </c>
      <c r="R309" t="s">
        <v>119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tr">
        <f t="shared" si="18"/>
        <v>theater</v>
      </c>
      <c r="Q310" t="str">
        <f t="shared" si="19"/>
        <v>plays</v>
      </c>
      <c r="R310" t="s">
        <v>33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tr">
        <f t="shared" si="18"/>
        <v>music</v>
      </c>
      <c r="Q311" t="str">
        <f t="shared" si="19"/>
        <v>indie rock</v>
      </c>
      <c r="R311" t="s">
        <v>60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tr">
        <f t="shared" si="18"/>
        <v>games</v>
      </c>
      <c r="Q312" t="str">
        <f t="shared" si="19"/>
        <v>video games</v>
      </c>
      <c r="R312" t="s">
        <v>89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tr">
        <f t="shared" si="18"/>
        <v>theater</v>
      </c>
      <c r="Q313" t="str">
        <f t="shared" si="19"/>
        <v>plays</v>
      </c>
      <c r="R313" t="s">
        <v>33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tr">
        <f t="shared" si="18"/>
        <v>theater</v>
      </c>
      <c r="Q314" t="str">
        <f t="shared" si="19"/>
        <v>plays</v>
      </c>
      <c r="R314" t="s">
        <v>33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tr">
        <f t="shared" si="18"/>
        <v>music</v>
      </c>
      <c r="Q315" t="str">
        <f t="shared" si="19"/>
        <v>rock</v>
      </c>
      <c r="R315" t="s">
        <v>23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tr">
        <f t="shared" si="18"/>
        <v>film &amp; video</v>
      </c>
      <c r="Q316" t="str">
        <f t="shared" si="19"/>
        <v>documentary</v>
      </c>
      <c r="R316" t="s">
        <v>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tr">
        <f t="shared" si="18"/>
        <v>theater</v>
      </c>
      <c r="Q317" t="str">
        <f t="shared" si="19"/>
        <v>plays</v>
      </c>
      <c r="R317" t="s">
        <v>33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tr">
        <f t="shared" si="18"/>
        <v>food</v>
      </c>
      <c r="Q318" t="str">
        <f t="shared" si="19"/>
        <v>food trucks</v>
      </c>
      <c r="R318" t="s">
        <v>17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tr">
        <f t="shared" si="18"/>
        <v>theater</v>
      </c>
      <c r="Q319" t="str">
        <f t="shared" si="19"/>
        <v>plays</v>
      </c>
      <c r="R319" t="s">
        <v>33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tr">
        <f t="shared" si="18"/>
        <v>music</v>
      </c>
      <c r="Q320" t="str">
        <f t="shared" si="19"/>
        <v>rock</v>
      </c>
      <c r="R320" t="s">
        <v>23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tr">
        <f t="shared" si="18"/>
        <v>technology</v>
      </c>
      <c r="Q321" t="str">
        <f t="shared" si="19"/>
        <v>web</v>
      </c>
      <c r="R321" t="s">
        <v>28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tr">
        <f t="shared" si="18"/>
        <v>publishing</v>
      </c>
      <c r="Q322" t="str">
        <f t="shared" si="19"/>
        <v>fiction</v>
      </c>
      <c r="R322" t="s">
        <v>119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E323/D323*100</f>
        <v>94.144366197183089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tr">
        <f t="shared" ref="P323:P386" si="22">_xlfn.TEXTBEFORE(R323,"/")</f>
        <v>film &amp; video</v>
      </c>
      <c r="Q323" t="str">
        <f t="shared" ref="Q323:Q386" si="23">_xlfn.TEXTAFTER(R323,"/")</f>
        <v>shorts</v>
      </c>
      <c r="R323" t="s">
        <v>100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tr">
        <f t="shared" si="22"/>
        <v>theater</v>
      </c>
      <c r="Q324" t="str">
        <f t="shared" si="23"/>
        <v>plays</v>
      </c>
      <c r="R324" t="s">
        <v>33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tr">
        <f t="shared" si="22"/>
        <v>film &amp; video</v>
      </c>
      <c r="Q325" t="str">
        <f t="shared" si="23"/>
        <v>documentary</v>
      </c>
      <c r="R325" t="s">
        <v>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tr">
        <f t="shared" si="22"/>
        <v>theater</v>
      </c>
      <c r="Q326" t="str">
        <f t="shared" si="23"/>
        <v>plays</v>
      </c>
      <c r="R326" t="s">
        <v>33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tr">
        <f t="shared" si="22"/>
        <v>theater</v>
      </c>
      <c r="Q327" t="str">
        <f t="shared" si="23"/>
        <v>plays</v>
      </c>
      <c r="R327" t="s">
        <v>33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tr">
        <f t="shared" si="22"/>
        <v>film &amp; video</v>
      </c>
      <c r="Q328" t="str">
        <f t="shared" si="23"/>
        <v>animation</v>
      </c>
      <c r="R328" t="s">
        <v>71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tr">
        <f t="shared" si="22"/>
        <v>theater</v>
      </c>
      <c r="Q329" t="str">
        <f t="shared" si="23"/>
        <v>plays</v>
      </c>
      <c r="R329" t="s">
        <v>33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tr">
        <f t="shared" si="22"/>
        <v>music</v>
      </c>
      <c r="Q330" t="str">
        <f t="shared" si="23"/>
        <v>rock</v>
      </c>
      <c r="R330" t="s">
        <v>23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tr">
        <f t="shared" si="22"/>
        <v>games</v>
      </c>
      <c r="Q331" t="str">
        <f t="shared" si="23"/>
        <v>video games</v>
      </c>
      <c r="R331" t="s">
        <v>89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tr">
        <f t="shared" si="22"/>
        <v>film &amp; video</v>
      </c>
      <c r="Q332" t="str">
        <f t="shared" si="23"/>
        <v>documentary</v>
      </c>
      <c r="R332" t="s">
        <v>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tr">
        <f t="shared" si="22"/>
        <v>food</v>
      </c>
      <c r="Q333" t="str">
        <f t="shared" si="23"/>
        <v>food trucks</v>
      </c>
      <c r="R333" t="s">
        <v>17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tr">
        <f t="shared" si="22"/>
        <v>technology</v>
      </c>
      <c r="Q334" t="str">
        <f t="shared" si="23"/>
        <v>wearables</v>
      </c>
      <c r="R334" t="s">
        <v>65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tr">
        <f t="shared" si="22"/>
        <v>theater</v>
      </c>
      <c r="Q335" t="str">
        <f t="shared" si="23"/>
        <v>plays</v>
      </c>
      <c r="R335" t="s">
        <v>33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tr">
        <f t="shared" si="22"/>
        <v>music</v>
      </c>
      <c r="Q336" t="str">
        <f t="shared" si="23"/>
        <v>rock</v>
      </c>
      <c r="R336" t="s">
        <v>23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tr">
        <f t="shared" si="22"/>
        <v>music</v>
      </c>
      <c r="Q337" t="str">
        <f t="shared" si="23"/>
        <v>rock</v>
      </c>
      <c r="R337" t="s">
        <v>23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tr">
        <f t="shared" si="22"/>
        <v>music</v>
      </c>
      <c r="Q338" t="str">
        <f t="shared" si="23"/>
        <v>rock</v>
      </c>
      <c r="R338" t="s">
        <v>23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tr">
        <f t="shared" si="22"/>
        <v>theater</v>
      </c>
      <c r="Q339" t="str">
        <f t="shared" si="23"/>
        <v>plays</v>
      </c>
      <c r="R339" t="s">
        <v>33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tr">
        <f t="shared" si="22"/>
        <v>theater</v>
      </c>
      <c r="Q340" t="str">
        <f t="shared" si="23"/>
        <v>plays</v>
      </c>
      <c r="R340" t="s">
        <v>33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tr">
        <f t="shared" si="22"/>
        <v>theater</v>
      </c>
      <c r="Q341" t="str">
        <f t="shared" si="23"/>
        <v>plays</v>
      </c>
      <c r="R341" t="s">
        <v>33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tr">
        <f t="shared" si="22"/>
        <v>photography</v>
      </c>
      <c r="Q342" t="str">
        <f t="shared" si="23"/>
        <v>photography books</v>
      </c>
      <c r="R342" t="s">
        <v>122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tr">
        <f t="shared" si="22"/>
        <v>music</v>
      </c>
      <c r="Q343" t="str">
        <f t="shared" si="23"/>
        <v>indie rock</v>
      </c>
      <c r="R343" t="s">
        <v>60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tr">
        <f t="shared" si="22"/>
        <v>theater</v>
      </c>
      <c r="Q344" t="str">
        <f t="shared" si="23"/>
        <v>plays</v>
      </c>
      <c r="R344" t="s">
        <v>33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tr">
        <f t="shared" si="22"/>
        <v>theater</v>
      </c>
      <c r="Q345" t="str">
        <f t="shared" si="23"/>
        <v>plays</v>
      </c>
      <c r="R345" t="s">
        <v>33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tr">
        <f t="shared" si="22"/>
        <v>games</v>
      </c>
      <c r="Q346" t="str">
        <f t="shared" si="23"/>
        <v>video games</v>
      </c>
      <c r="R346" t="s">
        <v>89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tr">
        <f t="shared" si="22"/>
        <v>film &amp; video</v>
      </c>
      <c r="Q347" t="str">
        <f t="shared" si="23"/>
        <v>drama</v>
      </c>
      <c r="R347" t="s">
        <v>53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tr">
        <f t="shared" si="22"/>
        <v>music</v>
      </c>
      <c r="Q348" t="str">
        <f t="shared" si="23"/>
        <v>indie rock</v>
      </c>
      <c r="R348" t="s">
        <v>60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tr">
        <f t="shared" si="22"/>
        <v>technology</v>
      </c>
      <c r="Q349" t="str">
        <f t="shared" si="23"/>
        <v>web</v>
      </c>
      <c r="R349" t="s">
        <v>28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tr">
        <f t="shared" si="22"/>
        <v>food</v>
      </c>
      <c r="Q350" t="str">
        <f t="shared" si="23"/>
        <v>food trucks</v>
      </c>
      <c r="R350" t="s">
        <v>17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tr">
        <f t="shared" si="22"/>
        <v>theater</v>
      </c>
      <c r="Q351" t="str">
        <f t="shared" si="23"/>
        <v>plays</v>
      </c>
      <c r="R351" t="s">
        <v>33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tr">
        <f t="shared" si="22"/>
        <v>music</v>
      </c>
      <c r="Q352" t="str">
        <f t="shared" si="23"/>
        <v>jazz</v>
      </c>
      <c r="R352" t="s">
        <v>159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tr">
        <f t="shared" si="22"/>
        <v>music</v>
      </c>
      <c r="Q353" t="str">
        <f t="shared" si="23"/>
        <v>rock</v>
      </c>
      <c r="R353" t="s">
        <v>23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tr">
        <f t="shared" si="22"/>
        <v>theater</v>
      </c>
      <c r="Q354" t="str">
        <f t="shared" si="23"/>
        <v>plays</v>
      </c>
      <c r="R354" t="s">
        <v>33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tr">
        <f t="shared" si="22"/>
        <v>theater</v>
      </c>
      <c r="Q355" t="str">
        <f t="shared" si="23"/>
        <v>plays</v>
      </c>
      <c r="R355" t="s">
        <v>33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tr">
        <f t="shared" si="22"/>
        <v>film &amp; video</v>
      </c>
      <c r="Q356" t="str">
        <f t="shared" si="23"/>
        <v>documentary</v>
      </c>
      <c r="R356" t="s">
        <v>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tr">
        <f t="shared" si="22"/>
        <v>technology</v>
      </c>
      <c r="Q357" t="str">
        <f t="shared" si="23"/>
        <v>wearables</v>
      </c>
      <c r="R357" t="s">
        <v>65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tr">
        <f t="shared" si="22"/>
        <v>theater</v>
      </c>
      <c r="Q358" t="str">
        <f t="shared" si="23"/>
        <v>plays</v>
      </c>
      <c r="R358" t="s">
        <v>33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tr">
        <f t="shared" si="22"/>
        <v>games</v>
      </c>
      <c r="Q359" t="str">
        <f t="shared" si="23"/>
        <v>video games</v>
      </c>
      <c r="R359" t="s">
        <v>89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tr">
        <f t="shared" si="22"/>
        <v>photography</v>
      </c>
      <c r="Q360" t="str">
        <f t="shared" si="23"/>
        <v>photography books</v>
      </c>
      <c r="R360" t="s">
        <v>122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tr">
        <f t="shared" si="22"/>
        <v>film &amp; video</v>
      </c>
      <c r="Q361" t="str">
        <f t="shared" si="23"/>
        <v>animation</v>
      </c>
      <c r="R361" t="s">
        <v>71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tr">
        <f t="shared" si="22"/>
        <v>theater</v>
      </c>
      <c r="Q362" t="str">
        <f t="shared" si="23"/>
        <v>plays</v>
      </c>
      <c r="R362" t="s">
        <v>33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tr">
        <f t="shared" si="22"/>
        <v>theater</v>
      </c>
      <c r="Q363" t="str">
        <f t="shared" si="23"/>
        <v>plays</v>
      </c>
      <c r="R363" t="s">
        <v>33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tr">
        <f t="shared" si="22"/>
        <v>music</v>
      </c>
      <c r="Q364" t="str">
        <f t="shared" si="23"/>
        <v>rock</v>
      </c>
      <c r="R364" t="s">
        <v>23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tr">
        <f t="shared" si="22"/>
        <v>music</v>
      </c>
      <c r="Q365" t="str">
        <f t="shared" si="23"/>
        <v>rock</v>
      </c>
      <c r="R365" t="s">
        <v>23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tr">
        <f t="shared" si="22"/>
        <v>music</v>
      </c>
      <c r="Q366" t="str">
        <f t="shared" si="23"/>
        <v>indie rock</v>
      </c>
      <c r="R366" t="s">
        <v>60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tr">
        <f t="shared" si="22"/>
        <v>theater</v>
      </c>
      <c r="Q367" t="str">
        <f t="shared" si="23"/>
        <v>plays</v>
      </c>
      <c r="R367" t="s">
        <v>33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tr">
        <f t="shared" si="22"/>
        <v>theater</v>
      </c>
      <c r="Q368" t="str">
        <f t="shared" si="23"/>
        <v>plays</v>
      </c>
      <c r="R368" t="s">
        <v>33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tr">
        <f t="shared" si="22"/>
        <v>theater</v>
      </c>
      <c r="Q369" t="str">
        <f t="shared" si="23"/>
        <v>plays</v>
      </c>
      <c r="R369" t="s">
        <v>33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tr">
        <f t="shared" si="22"/>
        <v>film &amp; video</v>
      </c>
      <c r="Q370" t="str">
        <f t="shared" si="23"/>
        <v>documentary</v>
      </c>
      <c r="R370" t="s">
        <v>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tr">
        <f t="shared" si="22"/>
        <v>film &amp; video</v>
      </c>
      <c r="Q371" t="str">
        <f t="shared" si="23"/>
        <v>television</v>
      </c>
      <c r="R371" t="s">
        <v>269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tr">
        <f t="shared" si="22"/>
        <v>theater</v>
      </c>
      <c r="Q372" t="str">
        <f t="shared" si="23"/>
        <v>plays</v>
      </c>
      <c r="R372" t="s">
        <v>33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tr">
        <f t="shared" si="22"/>
        <v>theater</v>
      </c>
      <c r="Q373" t="str">
        <f t="shared" si="23"/>
        <v>plays</v>
      </c>
      <c r="R373" t="s">
        <v>33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tr">
        <f t="shared" si="22"/>
        <v>film &amp; video</v>
      </c>
      <c r="Q374" t="str">
        <f t="shared" si="23"/>
        <v>documentary</v>
      </c>
      <c r="R374" t="s">
        <v>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tr">
        <f t="shared" si="22"/>
        <v>theater</v>
      </c>
      <c r="Q375" t="str">
        <f t="shared" si="23"/>
        <v>plays</v>
      </c>
      <c r="R375" t="s">
        <v>33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tr">
        <f t="shared" si="22"/>
        <v>film &amp; video</v>
      </c>
      <c r="Q376" t="str">
        <f t="shared" si="23"/>
        <v>documentary</v>
      </c>
      <c r="R376" t="s">
        <v>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tr">
        <f t="shared" si="22"/>
        <v>music</v>
      </c>
      <c r="Q377" t="str">
        <f t="shared" si="23"/>
        <v>indie rock</v>
      </c>
      <c r="R377" t="s">
        <v>60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tr">
        <f t="shared" si="22"/>
        <v>music</v>
      </c>
      <c r="Q378" t="str">
        <f t="shared" si="23"/>
        <v>rock</v>
      </c>
      <c r="R378" t="s">
        <v>23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tr">
        <f t="shared" si="22"/>
        <v>theater</v>
      </c>
      <c r="Q379" t="str">
        <f t="shared" si="23"/>
        <v>plays</v>
      </c>
      <c r="R379" t="s">
        <v>33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tr">
        <f t="shared" si="22"/>
        <v>film &amp; video</v>
      </c>
      <c r="Q380" t="str">
        <f t="shared" si="23"/>
        <v>documentary</v>
      </c>
      <c r="R380" t="s">
        <v>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tr">
        <f t="shared" si="22"/>
        <v>theater</v>
      </c>
      <c r="Q381" t="str">
        <f t="shared" si="23"/>
        <v>plays</v>
      </c>
      <c r="R381" t="s">
        <v>33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tr">
        <f t="shared" si="22"/>
        <v>theater</v>
      </c>
      <c r="Q382" t="str">
        <f t="shared" si="23"/>
        <v>plays</v>
      </c>
      <c r="R382" t="s">
        <v>33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tr">
        <f t="shared" si="22"/>
        <v>theater</v>
      </c>
      <c r="Q383" t="str">
        <f t="shared" si="23"/>
        <v>plays</v>
      </c>
      <c r="R383" t="s">
        <v>33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tr">
        <f t="shared" si="22"/>
        <v>photography</v>
      </c>
      <c r="Q384" t="str">
        <f t="shared" si="23"/>
        <v>photography books</v>
      </c>
      <c r="R384" t="s">
        <v>122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tr">
        <f t="shared" si="22"/>
        <v>food</v>
      </c>
      <c r="Q385" t="str">
        <f t="shared" si="23"/>
        <v>food trucks</v>
      </c>
      <c r="R385" t="s">
        <v>17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tr">
        <f t="shared" si="22"/>
        <v>film &amp; video</v>
      </c>
      <c r="Q386" t="str">
        <f t="shared" si="23"/>
        <v>documentary</v>
      </c>
      <c r="R386" t="s">
        <v>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E387/D387*100</f>
        <v>146.16709511568124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tr">
        <f t="shared" ref="P387:P450" si="26">_xlfn.TEXTBEFORE(R387,"/")</f>
        <v>publishing</v>
      </c>
      <c r="Q387" t="str">
        <f t="shared" ref="Q387:Q450" si="27">_xlfn.TEXTAFTER(R387,"/")</f>
        <v>nonfiction</v>
      </c>
      <c r="R387" t="s">
        <v>68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tr">
        <f t="shared" si="26"/>
        <v>theater</v>
      </c>
      <c r="Q388" t="str">
        <f t="shared" si="27"/>
        <v>plays</v>
      </c>
      <c r="R388" t="s">
        <v>33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tr">
        <f t="shared" si="26"/>
        <v>technology</v>
      </c>
      <c r="Q389" t="str">
        <f t="shared" si="27"/>
        <v>wearables</v>
      </c>
      <c r="R389" t="s">
        <v>65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tr">
        <f t="shared" si="26"/>
        <v>music</v>
      </c>
      <c r="Q390" t="str">
        <f t="shared" si="27"/>
        <v>indie rock</v>
      </c>
      <c r="R390" t="s">
        <v>60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tr">
        <f t="shared" si="26"/>
        <v>theater</v>
      </c>
      <c r="Q391" t="str">
        <f t="shared" si="27"/>
        <v>plays</v>
      </c>
      <c r="R391" t="s">
        <v>33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tr">
        <f t="shared" si="26"/>
        <v>photography</v>
      </c>
      <c r="Q392" t="str">
        <f t="shared" si="27"/>
        <v>photography books</v>
      </c>
      <c r="R392" t="s">
        <v>122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tr">
        <f t="shared" si="26"/>
        <v>publishing</v>
      </c>
      <c r="Q393" t="str">
        <f t="shared" si="27"/>
        <v>nonfiction</v>
      </c>
      <c r="R393" t="s">
        <v>68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tr">
        <f t="shared" si="26"/>
        <v>technology</v>
      </c>
      <c r="Q394" t="str">
        <f t="shared" si="27"/>
        <v>wearables</v>
      </c>
      <c r="R394" t="s">
        <v>65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tr">
        <f t="shared" si="26"/>
        <v>music</v>
      </c>
      <c r="Q395" t="str">
        <f t="shared" si="27"/>
        <v>jazz</v>
      </c>
      <c r="R395" t="s">
        <v>159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tr">
        <f t="shared" si="26"/>
        <v>film &amp; video</v>
      </c>
      <c r="Q396" t="str">
        <f t="shared" si="27"/>
        <v>documentary</v>
      </c>
      <c r="R396" t="s">
        <v>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tr">
        <f t="shared" si="26"/>
        <v>theater</v>
      </c>
      <c r="Q397" t="str">
        <f t="shared" si="27"/>
        <v>plays</v>
      </c>
      <c r="R397" t="s">
        <v>33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tr">
        <f t="shared" si="26"/>
        <v>film &amp; video</v>
      </c>
      <c r="Q398" t="str">
        <f t="shared" si="27"/>
        <v>drama</v>
      </c>
      <c r="R398" t="s">
        <v>53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tr">
        <f t="shared" si="26"/>
        <v>music</v>
      </c>
      <c r="Q399" t="str">
        <f t="shared" si="27"/>
        <v>rock</v>
      </c>
      <c r="R399" t="s">
        <v>23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tr">
        <f t="shared" si="26"/>
        <v>film &amp; video</v>
      </c>
      <c r="Q400" t="str">
        <f t="shared" si="27"/>
        <v>animation</v>
      </c>
      <c r="R400" t="s">
        <v>71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tr">
        <f t="shared" si="26"/>
        <v>music</v>
      </c>
      <c r="Q401" t="str">
        <f t="shared" si="27"/>
        <v>indie rock</v>
      </c>
      <c r="R401" t="s">
        <v>60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tr">
        <f t="shared" si="26"/>
        <v>photography</v>
      </c>
      <c r="Q402" t="str">
        <f t="shared" si="27"/>
        <v>photography books</v>
      </c>
      <c r="R402" t="s">
        <v>122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tr">
        <f t="shared" si="26"/>
        <v>theater</v>
      </c>
      <c r="Q403" t="str">
        <f t="shared" si="27"/>
        <v>plays</v>
      </c>
      <c r="R403" t="s">
        <v>33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tr">
        <f t="shared" si="26"/>
        <v>film &amp; video</v>
      </c>
      <c r="Q404" t="str">
        <f t="shared" si="27"/>
        <v>shorts</v>
      </c>
      <c r="R404" t="s">
        <v>100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tr">
        <f t="shared" si="26"/>
        <v>theater</v>
      </c>
      <c r="Q405" t="str">
        <f t="shared" si="27"/>
        <v>plays</v>
      </c>
      <c r="R405" t="s">
        <v>33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tr">
        <f t="shared" si="26"/>
        <v>theater</v>
      </c>
      <c r="Q406" t="str">
        <f t="shared" si="27"/>
        <v>plays</v>
      </c>
      <c r="R406" t="s">
        <v>33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tr">
        <f t="shared" si="26"/>
        <v>theater</v>
      </c>
      <c r="Q407" t="str">
        <f t="shared" si="27"/>
        <v>plays</v>
      </c>
      <c r="R407" t="s">
        <v>33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tr">
        <f t="shared" si="26"/>
        <v>film &amp; video</v>
      </c>
      <c r="Q408" t="str">
        <f t="shared" si="27"/>
        <v>documentary</v>
      </c>
      <c r="R408" t="s">
        <v>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tr">
        <f t="shared" si="26"/>
        <v>theater</v>
      </c>
      <c r="Q409" t="str">
        <f t="shared" si="27"/>
        <v>plays</v>
      </c>
      <c r="R409" t="s">
        <v>33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tr">
        <f t="shared" si="26"/>
        <v>film &amp; video</v>
      </c>
      <c r="Q410" t="str">
        <f t="shared" si="27"/>
        <v>documentary</v>
      </c>
      <c r="R410" t="s">
        <v>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tr">
        <f t="shared" si="26"/>
        <v>music</v>
      </c>
      <c r="Q411" t="str">
        <f t="shared" si="27"/>
        <v>rock</v>
      </c>
      <c r="R411" t="s">
        <v>23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tr">
        <f t="shared" si="26"/>
        <v>games</v>
      </c>
      <c r="Q412" t="str">
        <f t="shared" si="27"/>
        <v>mobile games</v>
      </c>
      <c r="R412" t="s">
        <v>292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tr">
        <f t="shared" si="26"/>
        <v>theater</v>
      </c>
      <c r="Q413" t="str">
        <f t="shared" si="27"/>
        <v>plays</v>
      </c>
      <c r="R413" t="s">
        <v>33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tr">
        <f t="shared" si="26"/>
        <v>publishing</v>
      </c>
      <c r="Q414" t="str">
        <f t="shared" si="27"/>
        <v>fiction</v>
      </c>
      <c r="R414" t="s">
        <v>119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tr">
        <f t="shared" si="26"/>
        <v>film &amp; video</v>
      </c>
      <c r="Q415" t="str">
        <f t="shared" si="27"/>
        <v>animation</v>
      </c>
      <c r="R415" t="s">
        <v>71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tr">
        <f t="shared" si="26"/>
        <v>food</v>
      </c>
      <c r="Q416" t="str">
        <f t="shared" si="27"/>
        <v>food trucks</v>
      </c>
      <c r="R416" t="s">
        <v>17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tr">
        <f t="shared" si="26"/>
        <v>theater</v>
      </c>
      <c r="Q417" t="str">
        <f t="shared" si="27"/>
        <v>plays</v>
      </c>
      <c r="R417" t="s">
        <v>33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tr">
        <f t="shared" si="26"/>
        <v>film &amp; video</v>
      </c>
      <c r="Q418" t="str">
        <f t="shared" si="27"/>
        <v>documentary</v>
      </c>
      <c r="R418" t="s">
        <v>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tr">
        <f t="shared" si="26"/>
        <v>theater</v>
      </c>
      <c r="Q419" t="str">
        <f t="shared" si="27"/>
        <v>plays</v>
      </c>
      <c r="R419" t="s">
        <v>33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tr">
        <f t="shared" si="26"/>
        <v>film &amp; video</v>
      </c>
      <c r="Q420" t="str">
        <f t="shared" si="27"/>
        <v>documentary</v>
      </c>
      <c r="R420" t="s">
        <v>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tr">
        <f t="shared" si="26"/>
        <v>technology</v>
      </c>
      <c r="Q421" t="str">
        <f t="shared" si="27"/>
        <v>web</v>
      </c>
      <c r="R421" t="s">
        <v>28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tr">
        <f t="shared" si="26"/>
        <v>theater</v>
      </c>
      <c r="Q422" t="str">
        <f t="shared" si="27"/>
        <v>plays</v>
      </c>
      <c r="R422" t="s">
        <v>33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tr">
        <f t="shared" si="26"/>
        <v>technology</v>
      </c>
      <c r="Q423" t="str">
        <f t="shared" si="27"/>
        <v>wearables</v>
      </c>
      <c r="R423" t="s">
        <v>65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tr">
        <f t="shared" si="26"/>
        <v>theater</v>
      </c>
      <c r="Q424" t="str">
        <f t="shared" si="27"/>
        <v>plays</v>
      </c>
      <c r="R424" t="s">
        <v>33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tr">
        <f t="shared" si="26"/>
        <v>food</v>
      </c>
      <c r="Q425" t="str">
        <f t="shared" si="27"/>
        <v>food trucks</v>
      </c>
      <c r="R425" t="s">
        <v>17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tr">
        <f t="shared" si="26"/>
        <v>music</v>
      </c>
      <c r="Q426" t="str">
        <f t="shared" si="27"/>
        <v>indie rock</v>
      </c>
      <c r="R426" t="s">
        <v>60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tr">
        <f t="shared" si="26"/>
        <v>photography</v>
      </c>
      <c r="Q427" t="str">
        <f t="shared" si="27"/>
        <v>photography books</v>
      </c>
      <c r="R427" t="s">
        <v>122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tr">
        <f t="shared" si="26"/>
        <v>theater</v>
      </c>
      <c r="Q428" t="str">
        <f t="shared" si="27"/>
        <v>plays</v>
      </c>
      <c r="R428" t="s">
        <v>33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tr">
        <f t="shared" si="26"/>
        <v>theater</v>
      </c>
      <c r="Q429" t="str">
        <f t="shared" si="27"/>
        <v>plays</v>
      </c>
      <c r="R429" t="s">
        <v>33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tr">
        <f t="shared" si="26"/>
        <v>film &amp; video</v>
      </c>
      <c r="Q430" t="str">
        <f t="shared" si="27"/>
        <v>animation</v>
      </c>
      <c r="R430" t="s">
        <v>71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tr">
        <f t="shared" si="26"/>
        <v>photography</v>
      </c>
      <c r="Q431" t="str">
        <f t="shared" si="27"/>
        <v>photography books</v>
      </c>
      <c r="R431" t="s">
        <v>122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tr">
        <f t="shared" si="26"/>
        <v>theater</v>
      </c>
      <c r="Q432" t="str">
        <f t="shared" si="27"/>
        <v>plays</v>
      </c>
      <c r="R432" t="s">
        <v>33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tr">
        <f t="shared" si="26"/>
        <v>theater</v>
      </c>
      <c r="Q433" t="str">
        <f t="shared" si="27"/>
        <v>plays</v>
      </c>
      <c r="R433" t="s">
        <v>33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tr">
        <f t="shared" si="26"/>
        <v>theater</v>
      </c>
      <c r="Q434" t="str">
        <f t="shared" si="27"/>
        <v>plays</v>
      </c>
      <c r="R434" t="s">
        <v>33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tr">
        <f t="shared" si="26"/>
        <v>film &amp; video</v>
      </c>
      <c r="Q435" t="str">
        <f t="shared" si="27"/>
        <v>documentary</v>
      </c>
      <c r="R435" t="s">
        <v>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tr">
        <f t="shared" si="26"/>
        <v>theater</v>
      </c>
      <c r="Q436" t="str">
        <f t="shared" si="27"/>
        <v>plays</v>
      </c>
      <c r="R436" t="s">
        <v>33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tr">
        <f t="shared" si="26"/>
        <v>theater</v>
      </c>
      <c r="Q437" t="str">
        <f t="shared" si="27"/>
        <v>plays</v>
      </c>
      <c r="R437" t="s">
        <v>33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tr">
        <f t="shared" si="26"/>
        <v>music</v>
      </c>
      <c r="Q438" t="str">
        <f t="shared" si="27"/>
        <v>jazz</v>
      </c>
      <c r="R438" t="s">
        <v>159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tr">
        <f t="shared" si="26"/>
        <v>film &amp; video</v>
      </c>
      <c r="Q439" t="str">
        <f t="shared" si="27"/>
        <v>animation</v>
      </c>
      <c r="R439" t="s">
        <v>71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tr">
        <f t="shared" si="26"/>
        <v>theater</v>
      </c>
      <c r="Q440" t="str">
        <f t="shared" si="27"/>
        <v>plays</v>
      </c>
      <c r="R440" t="s">
        <v>33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tr">
        <f t="shared" si="26"/>
        <v>film &amp; video</v>
      </c>
      <c r="Q441" t="str">
        <f t="shared" si="27"/>
        <v>science fiction</v>
      </c>
      <c r="R441" t="s">
        <v>474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tr">
        <f t="shared" si="26"/>
        <v>film &amp; video</v>
      </c>
      <c r="Q442" t="str">
        <f t="shared" si="27"/>
        <v>television</v>
      </c>
      <c r="R442" t="s">
        <v>269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tr">
        <f t="shared" si="26"/>
        <v>technology</v>
      </c>
      <c r="Q443" t="str">
        <f t="shared" si="27"/>
        <v>wearables</v>
      </c>
      <c r="R443" t="s">
        <v>65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tr">
        <f t="shared" si="26"/>
        <v>theater</v>
      </c>
      <c r="Q444" t="str">
        <f t="shared" si="27"/>
        <v>plays</v>
      </c>
      <c r="R444" t="s">
        <v>33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tr">
        <f t="shared" si="26"/>
        <v>theater</v>
      </c>
      <c r="Q445" t="str">
        <f t="shared" si="27"/>
        <v>plays</v>
      </c>
      <c r="R445" t="s">
        <v>33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tr">
        <f t="shared" si="26"/>
        <v>music</v>
      </c>
      <c r="Q446" t="str">
        <f t="shared" si="27"/>
        <v>indie rock</v>
      </c>
      <c r="R446" t="s">
        <v>60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tr">
        <f t="shared" si="26"/>
        <v>theater</v>
      </c>
      <c r="Q447" t="str">
        <f t="shared" si="27"/>
        <v>plays</v>
      </c>
      <c r="R447" t="s">
        <v>33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tr">
        <f t="shared" si="26"/>
        <v>technology</v>
      </c>
      <c r="Q448" t="str">
        <f t="shared" si="27"/>
        <v>wearables</v>
      </c>
      <c r="R448" t="s">
        <v>65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tr">
        <f t="shared" si="26"/>
        <v>film &amp; video</v>
      </c>
      <c r="Q449" t="str">
        <f t="shared" si="27"/>
        <v>television</v>
      </c>
      <c r="R449" t="s">
        <v>269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tr">
        <f t="shared" si="26"/>
        <v>games</v>
      </c>
      <c r="Q450" t="str">
        <f t="shared" si="27"/>
        <v>video games</v>
      </c>
      <c r="R450" t="s">
        <v>89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E451/D451*100</f>
        <v>967</v>
      </c>
      <c r="G451" t="s">
        <v>20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tr">
        <f t="shared" ref="P451:P514" si="30">_xlfn.TEXTBEFORE(R451,"/")</f>
        <v>games</v>
      </c>
      <c r="Q451" t="str">
        <f t="shared" ref="Q451:Q514" si="31">_xlfn.TEXTAFTER(R451,"/")</f>
        <v>video games</v>
      </c>
      <c r="R451" t="s">
        <v>89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tr">
        <f t="shared" si="30"/>
        <v>film &amp; video</v>
      </c>
      <c r="Q452" t="str">
        <f t="shared" si="31"/>
        <v>animation</v>
      </c>
      <c r="R452" t="s">
        <v>71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tr">
        <f t="shared" si="30"/>
        <v>music</v>
      </c>
      <c r="Q453" t="str">
        <f t="shared" si="31"/>
        <v>rock</v>
      </c>
      <c r="R453" t="s">
        <v>23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tr">
        <f t="shared" si="30"/>
        <v>film &amp; video</v>
      </c>
      <c r="Q454" t="str">
        <f t="shared" si="31"/>
        <v>drama</v>
      </c>
      <c r="R454" t="s">
        <v>53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tr">
        <f t="shared" si="30"/>
        <v>film &amp; video</v>
      </c>
      <c r="Q455" t="str">
        <f t="shared" si="31"/>
        <v>science fiction</v>
      </c>
      <c r="R455" t="s">
        <v>474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tr">
        <f t="shared" si="30"/>
        <v>film &amp; video</v>
      </c>
      <c r="Q456" t="str">
        <f t="shared" si="31"/>
        <v>drama</v>
      </c>
      <c r="R456" t="s">
        <v>53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tr">
        <f t="shared" si="30"/>
        <v>theater</v>
      </c>
      <c r="Q457" t="str">
        <f t="shared" si="31"/>
        <v>plays</v>
      </c>
      <c r="R457" t="s">
        <v>33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tr">
        <f t="shared" si="30"/>
        <v>music</v>
      </c>
      <c r="Q458" t="str">
        <f t="shared" si="31"/>
        <v>indie rock</v>
      </c>
      <c r="R458" t="s">
        <v>60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tr">
        <f t="shared" si="30"/>
        <v>theater</v>
      </c>
      <c r="Q459" t="str">
        <f t="shared" si="31"/>
        <v>plays</v>
      </c>
      <c r="R459" t="s">
        <v>33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tr">
        <f t="shared" si="30"/>
        <v>theater</v>
      </c>
      <c r="Q460" t="str">
        <f t="shared" si="31"/>
        <v>plays</v>
      </c>
      <c r="R460" t="s">
        <v>33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tr">
        <f t="shared" si="30"/>
        <v>film &amp; video</v>
      </c>
      <c r="Q461" t="str">
        <f t="shared" si="31"/>
        <v>documentary</v>
      </c>
      <c r="R461" t="s">
        <v>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tr">
        <f t="shared" si="30"/>
        <v>theater</v>
      </c>
      <c r="Q462" t="str">
        <f t="shared" si="31"/>
        <v>plays</v>
      </c>
      <c r="R462" t="s">
        <v>33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tr">
        <f t="shared" si="30"/>
        <v>film &amp; video</v>
      </c>
      <c r="Q463" t="str">
        <f t="shared" si="31"/>
        <v>drama</v>
      </c>
      <c r="R463" t="s">
        <v>53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tr">
        <f t="shared" si="30"/>
        <v>games</v>
      </c>
      <c r="Q464" t="str">
        <f t="shared" si="31"/>
        <v>mobile games</v>
      </c>
      <c r="R464" t="s">
        <v>292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tr">
        <f t="shared" si="30"/>
        <v>film &amp; video</v>
      </c>
      <c r="Q465" t="str">
        <f t="shared" si="31"/>
        <v>animation</v>
      </c>
      <c r="R465" t="s">
        <v>71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tr">
        <f t="shared" si="30"/>
        <v>theater</v>
      </c>
      <c r="Q466" t="str">
        <f t="shared" si="31"/>
        <v>plays</v>
      </c>
      <c r="R466" t="s">
        <v>33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tr">
        <f t="shared" si="30"/>
        <v>publishing</v>
      </c>
      <c r="Q467" t="str">
        <f t="shared" si="31"/>
        <v>translations</v>
      </c>
      <c r="R467" t="s">
        <v>206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tr">
        <f t="shared" si="30"/>
        <v>technology</v>
      </c>
      <c r="Q468" t="str">
        <f t="shared" si="31"/>
        <v>wearables</v>
      </c>
      <c r="R468" t="s">
        <v>65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tr">
        <f t="shared" si="30"/>
        <v>technology</v>
      </c>
      <c r="Q469" t="str">
        <f t="shared" si="31"/>
        <v>web</v>
      </c>
      <c r="R469" t="s">
        <v>28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tr">
        <f t="shared" si="30"/>
        <v>theater</v>
      </c>
      <c r="Q470" t="str">
        <f t="shared" si="31"/>
        <v>plays</v>
      </c>
      <c r="R470" t="s">
        <v>33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tr">
        <f t="shared" si="30"/>
        <v>film &amp; video</v>
      </c>
      <c r="Q471" t="str">
        <f t="shared" si="31"/>
        <v>drama</v>
      </c>
      <c r="R471" t="s">
        <v>53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tr">
        <f t="shared" si="30"/>
        <v>technology</v>
      </c>
      <c r="Q472" t="str">
        <f t="shared" si="31"/>
        <v>wearables</v>
      </c>
      <c r="R472" t="s">
        <v>65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tr">
        <f t="shared" si="30"/>
        <v>food</v>
      </c>
      <c r="Q473" t="str">
        <f t="shared" si="31"/>
        <v>food trucks</v>
      </c>
      <c r="R473" t="s">
        <v>17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tr">
        <f t="shared" si="30"/>
        <v>music</v>
      </c>
      <c r="Q474" t="str">
        <f t="shared" si="31"/>
        <v>rock</v>
      </c>
      <c r="R474" t="s">
        <v>23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tr">
        <f t="shared" si="30"/>
        <v>music</v>
      </c>
      <c r="Q475" t="str">
        <f t="shared" si="31"/>
        <v>electric music</v>
      </c>
      <c r="R475" t="s">
        <v>50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tr">
        <f t="shared" si="30"/>
        <v>film &amp; video</v>
      </c>
      <c r="Q476" t="str">
        <f t="shared" si="31"/>
        <v>television</v>
      </c>
      <c r="R476" t="s">
        <v>269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tr">
        <f t="shared" si="30"/>
        <v>publishing</v>
      </c>
      <c r="Q477" t="str">
        <f t="shared" si="31"/>
        <v>translations</v>
      </c>
      <c r="R477" t="s">
        <v>206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tr">
        <f t="shared" si="30"/>
        <v>publishing</v>
      </c>
      <c r="Q478" t="str">
        <f t="shared" si="31"/>
        <v>fiction</v>
      </c>
      <c r="R478" t="s">
        <v>119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tr">
        <f t="shared" si="30"/>
        <v>film &amp; video</v>
      </c>
      <c r="Q479" t="str">
        <f t="shared" si="31"/>
        <v>science fiction</v>
      </c>
      <c r="R479" t="s">
        <v>474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tr">
        <f t="shared" si="30"/>
        <v>technology</v>
      </c>
      <c r="Q480" t="str">
        <f t="shared" si="31"/>
        <v>wearables</v>
      </c>
      <c r="R480" t="s">
        <v>65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tr">
        <f t="shared" si="30"/>
        <v>food</v>
      </c>
      <c r="Q481" t="str">
        <f t="shared" si="31"/>
        <v>food trucks</v>
      </c>
      <c r="R481" t="s">
        <v>17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tr">
        <f t="shared" si="30"/>
        <v>photography</v>
      </c>
      <c r="Q482" t="str">
        <f t="shared" si="31"/>
        <v>photography books</v>
      </c>
      <c r="R482" t="s">
        <v>122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tr">
        <f t="shared" si="30"/>
        <v>theater</v>
      </c>
      <c r="Q483" t="str">
        <f t="shared" si="31"/>
        <v>plays</v>
      </c>
      <c r="R483" t="s">
        <v>33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tr">
        <f t="shared" si="30"/>
        <v>publishing</v>
      </c>
      <c r="Q484" t="str">
        <f t="shared" si="31"/>
        <v>fiction</v>
      </c>
      <c r="R484" t="s">
        <v>119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tr">
        <f t="shared" si="30"/>
        <v>theater</v>
      </c>
      <c r="Q485" t="str">
        <f t="shared" si="31"/>
        <v>plays</v>
      </c>
      <c r="R485" t="s">
        <v>33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tr">
        <f t="shared" si="30"/>
        <v>food</v>
      </c>
      <c r="Q486" t="str">
        <f t="shared" si="31"/>
        <v>food trucks</v>
      </c>
      <c r="R486" t="s">
        <v>17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tr">
        <f t="shared" si="30"/>
        <v>theater</v>
      </c>
      <c r="Q487" t="str">
        <f t="shared" si="31"/>
        <v>plays</v>
      </c>
      <c r="R487" t="s">
        <v>33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tr">
        <f t="shared" si="30"/>
        <v>publishing</v>
      </c>
      <c r="Q488" t="str">
        <f t="shared" si="31"/>
        <v>translations</v>
      </c>
      <c r="R488" t="s">
        <v>206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tr">
        <f t="shared" si="30"/>
        <v>theater</v>
      </c>
      <c r="Q489" t="str">
        <f t="shared" si="31"/>
        <v>plays</v>
      </c>
      <c r="R489" t="s">
        <v>33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tr">
        <f t="shared" si="30"/>
        <v>theater</v>
      </c>
      <c r="Q490" t="str">
        <f t="shared" si="31"/>
        <v>plays</v>
      </c>
      <c r="R490" t="s">
        <v>33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tr">
        <f t="shared" si="30"/>
        <v>technology</v>
      </c>
      <c r="Q491" t="str">
        <f t="shared" si="31"/>
        <v>wearables</v>
      </c>
      <c r="R491" t="s">
        <v>65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tr">
        <f t="shared" si="30"/>
        <v>journalism</v>
      </c>
      <c r="Q492" t="str">
        <f t="shared" si="31"/>
        <v>audio</v>
      </c>
      <c r="R492" t="s">
        <v>1029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tr">
        <f t="shared" si="30"/>
        <v>food</v>
      </c>
      <c r="Q493" t="str">
        <f t="shared" si="31"/>
        <v>food trucks</v>
      </c>
      <c r="R493" t="s">
        <v>17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tr">
        <f t="shared" si="30"/>
        <v>film &amp; video</v>
      </c>
      <c r="Q494" t="str">
        <f t="shared" si="31"/>
        <v>shorts</v>
      </c>
      <c r="R494" t="s">
        <v>100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tr">
        <f t="shared" si="30"/>
        <v>photography</v>
      </c>
      <c r="Q495" t="str">
        <f t="shared" si="31"/>
        <v>photography books</v>
      </c>
      <c r="R495" t="s">
        <v>122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tr">
        <f t="shared" si="30"/>
        <v>technology</v>
      </c>
      <c r="Q496" t="str">
        <f t="shared" si="31"/>
        <v>wearables</v>
      </c>
      <c r="R496" t="s">
        <v>65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tr">
        <f t="shared" si="30"/>
        <v>theater</v>
      </c>
      <c r="Q497" t="str">
        <f t="shared" si="31"/>
        <v>plays</v>
      </c>
      <c r="R497" t="s">
        <v>33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tr">
        <f t="shared" si="30"/>
        <v>film &amp; video</v>
      </c>
      <c r="Q498" t="str">
        <f t="shared" si="31"/>
        <v>animation</v>
      </c>
      <c r="R498" t="s">
        <v>71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tr">
        <f t="shared" si="30"/>
        <v>technology</v>
      </c>
      <c r="Q499" t="str">
        <f t="shared" si="31"/>
        <v>wearables</v>
      </c>
      <c r="R499" t="s">
        <v>65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tr">
        <f t="shared" si="30"/>
        <v>technology</v>
      </c>
      <c r="Q500" t="str">
        <f t="shared" si="31"/>
        <v>web</v>
      </c>
      <c r="R500" t="s">
        <v>28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tr">
        <f t="shared" si="30"/>
        <v>film &amp; video</v>
      </c>
      <c r="Q501" t="str">
        <f t="shared" si="31"/>
        <v>documentary</v>
      </c>
      <c r="R501" t="s">
        <v>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tr">
        <f t="shared" si="30"/>
        <v>theater</v>
      </c>
      <c r="Q502" t="str">
        <f t="shared" si="31"/>
        <v>plays</v>
      </c>
      <c r="R502" t="s">
        <v>33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tr">
        <f t="shared" si="30"/>
        <v>film &amp; video</v>
      </c>
      <c r="Q503" t="str">
        <f t="shared" si="31"/>
        <v>documentary</v>
      </c>
      <c r="R503" t="s">
        <v>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tr">
        <f t="shared" si="30"/>
        <v>games</v>
      </c>
      <c r="Q504" t="str">
        <f t="shared" si="31"/>
        <v>video games</v>
      </c>
      <c r="R504" t="s">
        <v>89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tr">
        <f t="shared" si="30"/>
        <v>film &amp; video</v>
      </c>
      <c r="Q505" t="str">
        <f t="shared" si="31"/>
        <v>drama</v>
      </c>
      <c r="R505" t="s">
        <v>53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tr">
        <f t="shared" si="30"/>
        <v>music</v>
      </c>
      <c r="Q506" t="str">
        <f t="shared" si="31"/>
        <v>rock</v>
      </c>
      <c r="R506" t="s">
        <v>23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tr">
        <f t="shared" si="30"/>
        <v>publishing</v>
      </c>
      <c r="Q507" t="str">
        <f t="shared" si="31"/>
        <v>radio &amp; podcasts</v>
      </c>
      <c r="R507" t="s">
        <v>133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tr">
        <f t="shared" si="30"/>
        <v>theater</v>
      </c>
      <c r="Q508" t="str">
        <f t="shared" si="31"/>
        <v>plays</v>
      </c>
      <c r="R508" t="s">
        <v>33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tr">
        <f t="shared" si="30"/>
        <v>technology</v>
      </c>
      <c r="Q509" t="str">
        <f t="shared" si="31"/>
        <v>web</v>
      </c>
      <c r="R509" t="s">
        <v>28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tr">
        <f t="shared" si="30"/>
        <v>theater</v>
      </c>
      <c r="Q510" t="str">
        <f t="shared" si="31"/>
        <v>plays</v>
      </c>
      <c r="R510" t="s">
        <v>33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tr">
        <f t="shared" si="30"/>
        <v>theater</v>
      </c>
      <c r="Q511" t="str">
        <f t="shared" si="31"/>
        <v>plays</v>
      </c>
      <c r="R511" t="s">
        <v>33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tr">
        <f t="shared" si="30"/>
        <v>film &amp; video</v>
      </c>
      <c r="Q512" t="str">
        <f t="shared" si="31"/>
        <v>drama</v>
      </c>
      <c r="R512" t="s">
        <v>53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tr">
        <f t="shared" si="30"/>
        <v>theater</v>
      </c>
      <c r="Q513" t="str">
        <f t="shared" si="31"/>
        <v>plays</v>
      </c>
      <c r="R513" t="s">
        <v>33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tr">
        <f t="shared" si="30"/>
        <v>games</v>
      </c>
      <c r="Q514" t="str">
        <f t="shared" si="31"/>
        <v>video games</v>
      </c>
      <c r="R514" t="s">
        <v>89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E515/D515*100</f>
        <v>39.277108433734945</v>
      </c>
      <c r="G515" t="s">
        <v>74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tr">
        <f t="shared" ref="P515:P578" si="34">_xlfn.TEXTBEFORE(R515,"/")</f>
        <v>film &amp; video</v>
      </c>
      <c r="Q515" t="str">
        <f t="shared" ref="Q515:Q578" si="35">_xlfn.TEXTAFTER(R515,"/")</f>
        <v>television</v>
      </c>
      <c r="R515" t="s">
        <v>269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tr">
        <f t="shared" si="34"/>
        <v>music</v>
      </c>
      <c r="Q516" t="str">
        <f t="shared" si="35"/>
        <v>rock</v>
      </c>
      <c r="R516" t="s">
        <v>23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tr">
        <f t="shared" si="34"/>
        <v>theater</v>
      </c>
      <c r="Q517" t="str">
        <f t="shared" si="35"/>
        <v>plays</v>
      </c>
      <c r="R517" t="s">
        <v>33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tr">
        <f t="shared" si="34"/>
        <v>publishing</v>
      </c>
      <c r="Q518" t="str">
        <f t="shared" si="35"/>
        <v>nonfiction</v>
      </c>
      <c r="R518" t="s">
        <v>68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tr">
        <f t="shared" si="34"/>
        <v>food</v>
      </c>
      <c r="Q519" t="str">
        <f t="shared" si="35"/>
        <v>food trucks</v>
      </c>
      <c r="R519" t="s">
        <v>17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tr">
        <f t="shared" si="34"/>
        <v>film &amp; video</v>
      </c>
      <c r="Q520" t="str">
        <f t="shared" si="35"/>
        <v>animation</v>
      </c>
      <c r="R520" t="s">
        <v>71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tr">
        <f t="shared" si="34"/>
        <v>music</v>
      </c>
      <c r="Q521" t="str">
        <f t="shared" si="35"/>
        <v>rock</v>
      </c>
      <c r="R521" t="s">
        <v>23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tr">
        <f t="shared" si="34"/>
        <v>theater</v>
      </c>
      <c r="Q522" t="str">
        <f t="shared" si="35"/>
        <v>plays</v>
      </c>
      <c r="R522" t="s">
        <v>33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tr">
        <f t="shared" si="34"/>
        <v>film &amp; video</v>
      </c>
      <c r="Q523" t="str">
        <f t="shared" si="35"/>
        <v>drama</v>
      </c>
      <c r="R523" t="s">
        <v>53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tr">
        <f t="shared" si="34"/>
        <v>film &amp; video</v>
      </c>
      <c r="Q524" t="str">
        <f t="shared" si="35"/>
        <v>shorts</v>
      </c>
      <c r="R524" t="s">
        <v>100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tr">
        <f t="shared" si="34"/>
        <v>film &amp; video</v>
      </c>
      <c r="Q525" t="str">
        <f t="shared" si="35"/>
        <v>shorts</v>
      </c>
      <c r="R525" t="s">
        <v>100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tr">
        <f t="shared" si="34"/>
        <v>theater</v>
      </c>
      <c r="Q526" t="str">
        <f t="shared" si="35"/>
        <v>plays</v>
      </c>
      <c r="R526" t="s">
        <v>33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tr">
        <f t="shared" si="34"/>
        <v>technology</v>
      </c>
      <c r="Q527" t="str">
        <f t="shared" si="35"/>
        <v>wearables</v>
      </c>
      <c r="R527" t="s">
        <v>65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tr">
        <f t="shared" si="34"/>
        <v>theater</v>
      </c>
      <c r="Q528" t="str">
        <f t="shared" si="35"/>
        <v>plays</v>
      </c>
      <c r="R528" t="s">
        <v>33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tr">
        <f t="shared" si="34"/>
        <v>film &amp; video</v>
      </c>
      <c r="Q529" t="str">
        <f t="shared" si="35"/>
        <v>animation</v>
      </c>
      <c r="R529" t="s">
        <v>71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tr">
        <f t="shared" si="34"/>
        <v>music</v>
      </c>
      <c r="Q530" t="str">
        <f t="shared" si="35"/>
        <v>indie rock</v>
      </c>
      <c r="R530" t="s">
        <v>60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tr">
        <f t="shared" si="34"/>
        <v>games</v>
      </c>
      <c r="Q531" t="str">
        <f t="shared" si="35"/>
        <v>video games</v>
      </c>
      <c r="R531" t="s">
        <v>89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tr">
        <f t="shared" si="34"/>
        <v>publishing</v>
      </c>
      <c r="Q532" t="str">
        <f t="shared" si="35"/>
        <v>fiction</v>
      </c>
      <c r="R532" t="s">
        <v>119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tr">
        <f t="shared" si="34"/>
        <v>games</v>
      </c>
      <c r="Q533" t="str">
        <f t="shared" si="35"/>
        <v>video games</v>
      </c>
      <c r="R533" t="s">
        <v>89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tr">
        <f t="shared" si="34"/>
        <v>theater</v>
      </c>
      <c r="Q534" t="str">
        <f t="shared" si="35"/>
        <v>plays</v>
      </c>
      <c r="R534" t="s">
        <v>33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tr">
        <f t="shared" si="34"/>
        <v>music</v>
      </c>
      <c r="Q535" t="str">
        <f t="shared" si="35"/>
        <v>indie rock</v>
      </c>
      <c r="R535" t="s">
        <v>60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tr">
        <f t="shared" si="34"/>
        <v>film &amp; video</v>
      </c>
      <c r="Q536" t="str">
        <f t="shared" si="35"/>
        <v>drama</v>
      </c>
      <c r="R536" t="s">
        <v>53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tr">
        <f t="shared" si="34"/>
        <v>theater</v>
      </c>
      <c r="Q537" t="str">
        <f t="shared" si="35"/>
        <v>plays</v>
      </c>
      <c r="R537" t="s">
        <v>33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tr">
        <f t="shared" si="34"/>
        <v>publishing</v>
      </c>
      <c r="Q538" t="str">
        <f t="shared" si="35"/>
        <v>fiction</v>
      </c>
      <c r="R538" t="s">
        <v>119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tr">
        <f t="shared" si="34"/>
        <v>film &amp; video</v>
      </c>
      <c r="Q539" t="str">
        <f t="shared" si="35"/>
        <v>documentary</v>
      </c>
      <c r="R539" t="s">
        <v>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tr">
        <f t="shared" si="34"/>
        <v>games</v>
      </c>
      <c r="Q540" t="str">
        <f t="shared" si="35"/>
        <v>mobile games</v>
      </c>
      <c r="R540" t="s">
        <v>292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tr">
        <f t="shared" si="34"/>
        <v>food</v>
      </c>
      <c r="Q541" t="str">
        <f t="shared" si="35"/>
        <v>food trucks</v>
      </c>
      <c r="R541" t="s">
        <v>17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tr">
        <f t="shared" si="34"/>
        <v>photography</v>
      </c>
      <c r="Q542" t="str">
        <f t="shared" si="35"/>
        <v>photography books</v>
      </c>
      <c r="R542" t="s">
        <v>122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tr">
        <f t="shared" si="34"/>
        <v>games</v>
      </c>
      <c r="Q543" t="str">
        <f t="shared" si="35"/>
        <v>mobile games</v>
      </c>
      <c r="R543" t="s">
        <v>292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tr">
        <f t="shared" si="34"/>
        <v>music</v>
      </c>
      <c r="Q544" t="str">
        <f t="shared" si="35"/>
        <v>indie rock</v>
      </c>
      <c r="R544" t="s">
        <v>60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tr">
        <f t="shared" si="34"/>
        <v>games</v>
      </c>
      <c r="Q545" t="str">
        <f t="shared" si="35"/>
        <v>video games</v>
      </c>
      <c r="R545" t="s">
        <v>89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tr">
        <f t="shared" si="34"/>
        <v>music</v>
      </c>
      <c r="Q546" t="str">
        <f t="shared" si="35"/>
        <v>rock</v>
      </c>
      <c r="R546" t="s">
        <v>23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tr">
        <f t="shared" si="34"/>
        <v>theater</v>
      </c>
      <c r="Q547" t="str">
        <f t="shared" si="35"/>
        <v>plays</v>
      </c>
      <c r="R547" t="s">
        <v>33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tr">
        <f t="shared" si="34"/>
        <v>theater</v>
      </c>
      <c r="Q548" t="str">
        <f t="shared" si="35"/>
        <v>plays</v>
      </c>
      <c r="R548" t="s">
        <v>33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tr">
        <f t="shared" si="34"/>
        <v>film &amp; video</v>
      </c>
      <c r="Q549" t="str">
        <f t="shared" si="35"/>
        <v>drama</v>
      </c>
      <c r="R549" t="s">
        <v>53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tr">
        <f t="shared" si="34"/>
        <v>theater</v>
      </c>
      <c r="Q550" t="str">
        <f t="shared" si="35"/>
        <v>plays</v>
      </c>
      <c r="R550" t="s">
        <v>33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tr">
        <f t="shared" si="34"/>
        <v>technology</v>
      </c>
      <c r="Q551" t="str">
        <f t="shared" si="35"/>
        <v>wearables</v>
      </c>
      <c r="R551" t="s">
        <v>65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tr">
        <f t="shared" si="34"/>
        <v>music</v>
      </c>
      <c r="Q552" t="str">
        <f t="shared" si="35"/>
        <v>indie rock</v>
      </c>
      <c r="R552" t="s">
        <v>60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tr">
        <f t="shared" si="34"/>
        <v>technology</v>
      </c>
      <c r="Q553" t="str">
        <f t="shared" si="35"/>
        <v>web</v>
      </c>
      <c r="R553" t="s">
        <v>28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tr">
        <f t="shared" si="34"/>
        <v>theater</v>
      </c>
      <c r="Q554" t="str">
        <f t="shared" si="35"/>
        <v>plays</v>
      </c>
      <c r="R554" t="s">
        <v>33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tr">
        <f t="shared" si="34"/>
        <v>music</v>
      </c>
      <c r="Q555" t="str">
        <f t="shared" si="35"/>
        <v>rock</v>
      </c>
      <c r="R555" t="s">
        <v>23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tr">
        <f t="shared" si="34"/>
        <v>music</v>
      </c>
      <c r="Q556" t="str">
        <f t="shared" si="35"/>
        <v>indie rock</v>
      </c>
      <c r="R556" t="s">
        <v>60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tr">
        <f t="shared" si="34"/>
        <v>music</v>
      </c>
      <c r="Q557" t="str">
        <f t="shared" si="35"/>
        <v>rock</v>
      </c>
      <c r="R557" t="s">
        <v>23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tr">
        <f t="shared" si="34"/>
        <v>publishing</v>
      </c>
      <c r="Q558" t="str">
        <f t="shared" si="35"/>
        <v>translations</v>
      </c>
      <c r="R558" t="s">
        <v>206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tr">
        <f t="shared" si="34"/>
        <v>film &amp; video</v>
      </c>
      <c r="Q559" t="str">
        <f t="shared" si="35"/>
        <v>science fiction</v>
      </c>
      <c r="R559" t="s">
        <v>474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tr">
        <f t="shared" si="34"/>
        <v>theater</v>
      </c>
      <c r="Q560" t="str">
        <f t="shared" si="35"/>
        <v>plays</v>
      </c>
      <c r="R560" t="s">
        <v>33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tr">
        <f t="shared" si="34"/>
        <v>theater</v>
      </c>
      <c r="Q561" t="str">
        <f t="shared" si="35"/>
        <v>plays</v>
      </c>
      <c r="R561" t="s">
        <v>33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tr">
        <f t="shared" si="34"/>
        <v>film &amp; video</v>
      </c>
      <c r="Q562" t="str">
        <f t="shared" si="35"/>
        <v>animation</v>
      </c>
      <c r="R562" t="s">
        <v>71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tr">
        <f t="shared" si="34"/>
        <v>theater</v>
      </c>
      <c r="Q563" t="str">
        <f t="shared" si="35"/>
        <v>plays</v>
      </c>
      <c r="R563" t="s">
        <v>33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tr">
        <f t="shared" si="34"/>
        <v>music</v>
      </c>
      <c r="Q564" t="str">
        <f t="shared" si="35"/>
        <v>rock</v>
      </c>
      <c r="R564" t="s">
        <v>23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tr">
        <f t="shared" si="34"/>
        <v>film &amp; video</v>
      </c>
      <c r="Q565" t="str">
        <f t="shared" si="35"/>
        <v>documentary</v>
      </c>
      <c r="R565" t="s">
        <v>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tr">
        <f t="shared" si="34"/>
        <v>theater</v>
      </c>
      <c r="Q566" t="str">
        <f t="shared" si="35"/>
        <v>plays</v>
      </c>
      <c r="R566" t="s">
        <v>33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tr">
        <f t="shared" si="34"/>
        <v>theater</v>
      </c>
      <c r="Q567" t="str">
        <f t="shared" si="35"/>
        <v>plays</v>
      </c>
      <c r="R567" t="s">
        <v>33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tr">
        <f t="shared" si="34"/>
        <v>music</v>
      </c>
      <c r="Q568" t="str">
        <f t="shared" si="35"/>
        <v>electric music</v>
      </c>
      <c r="R568" t="s">
        <v>50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tr">
        <f t="shared" si="34"/>
        <v>music</v>
      </c>
      <c r="Q569" t="str">
        <f t="shared" si="35"/>
        <v>rock</v>
      </c>
      <c r="R569" t="s">
        <v>23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tr">
        <f t="shared" si="34"/>
        <v>theater</v>
      </c>
      <c r="Q570" t="str">
        <f t="shared" si="35"/>
        <v>plays</v>
      </c>
      <c r="R570" t="s">
        <v>33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tr">
        <f t="shared" si="34"/>
        <v>film &amp; video</v>
      </c>
      <c r="Q571" t="str">
        <f t="shared" si="35"/>
        <v>animation</v>
      </c>
      <c r="R571" t="s">
        <v>71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tr">
        <f t="shared" si="34"/>
        <v>music</v>
      </c>
      <c r="Q572" t="str">
        <f t="shared" si="35"/>
        <v>rock</v>
      </c>
      <c r="R572" t="s">
        <v>23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tr">
        <f t="shared" si="34"/>
        <v>film &amp; video</v>
      </c>
      <c r="Q573" t="str">
        <f t="shared" si="35"/>
        <v>shorts</v>
      </c>
      <c r="R573" t="s">
        <v>100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tr">
        <f t="shared" si="34"/>
        <v>music</v>
      </c>
      <c r="Q574" t="str">
        <f t="shared" si="35"/>
        <v>rock</v>
      </c>
      <c r="R574" t="s">
        <v>23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tr">
        <f t="shared" si="34"/>
        <v>journalism</v>
      </c>
      <c r="Q575" t="str">
        <f t="shared" si="35"/>
        <v>audio</v>
      </c>
      <c r="R575" t="s">
        <v>1029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tr">
        <f t="shared" si="34"/>
        <v>food</v>
      </c>
      <c r="Q576" t="str">
        <f t="shared" si="35"/>
        <v>food trucks</v>
      </c>
      <c r="R576" t="s">
        <v>17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tr">
        <f t="shared" si="34"/>
        <v>theater</v>
      </c>
      <c r="Q577" t="str">
        <f t="shared" si="35"/>
        <v>plays</v>
      </c>
      <c r="R577" t="s">
        <v>33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tr">
        <f t="shared" si="34"/>
        <v>theater</v>
      </c>
      <c r="Q578" t="str">
        <f t="shared" si="35"/>
        <v>plays</v>
      </c>
      <c r="R578" t="s">
        <v>33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E579/D579*100</f>
        <v>18.853658536585368</v>
      </c>
      <c r="G579" t="s">
        <v>74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tr">
        <f t="shared" ref="P579:P642" si="38">_xlfn.TEXTBEFORE(R579,"/")</f>
        <v>music</v>
      </c>
      <c r="Q579" t="str">
        <f t="shared" ref="Q579:Q642" si="39">_xlfn.TEXTAFTER(R579,"/")</f>
        <v>jazz</v>
      </c>
      <c r="R579" t="s">
        <v>159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tr">
        <f t="shared" si="38"/>
        <v>film &amp; video</v>
      </c>
      <c r="Q580" t="str">
        <f t="shared" si="39"/>
        <v>science fiction</v>
      </c>
      <c r="R580" t="s">
        <v>474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tr">
        <f t="shared" si="38"/>
        <v>music</v>
      </c>
      <c r="Q581" t="str">
        <f t="shared" si="39"/>
        <v>jazz</v>
      </c>
      <c r="R581" t="s">
        <v>159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tr">
        <f t="shared" si="38"/>
        <v>theater</v>
      </c>
      <c r="Q582" t="str">
        <f t="shared" si="39"/>
        <v>plays</v>
      </c>
      <c r="R582" t="s">
        <v>33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tr">
        <f t="shared" si="38"/>
        <v>technology</v>
      </c>
      <c r="Q583" t="str">
        <f t="shared" si="39"/>
        <v>web</v>
      </c>
      <c r="R583" t="s">
        <v>28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tr">
        <f t="shared" si="38"/>
        <v>games</v>
      </c>
      <c r="Q584" t="str">
        <f t="shared" si="39"/>
        <v>video games</v>
      </c>
      <c r="R584" t="s">
        <v>89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tr">
        <f t="shared" si="38"/>
        <v>film &amp; video</v>
      </c>
      <c r="Q585" t="str">
        <f t="shared" si="39"/>
        <v>documentary</v>
      </c>
      <c r="R585" t="s">
        <v>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tr">
        <f t="shared" si="38"/>
        <v>technology</v>
      </c>
      <c r="Q586" t="str">
        <f t="shared" si="39"/>
        <v>web</v>
      </c>
      <c r="R586" t="s">
        <v>28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tr">
        <f t="shared" si="38"/>
        <v>publishing</v>
      </c>
      <c r="Q587" t="str">
        <f t="shared" si="39"/>
        <v>translations</v>
      </c>
      <c r="R587" t="s">
        <v>206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tr">
        <f t="shared" si="38"/>
        <v>music</v>
      </c>
      <c r="Q588" t="str">
        <f t="shared" si="39"/>
        <v>rock</v>
      </c>
      <c r="R588" t="s">
        <v>23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tr">
        <f t="shared" si="38"/>
        <v>food</v>
      </c>
      <c r="Q589" t="str">
        <f t="shared" si="39"/>
        <v>food trucks</v>
      </c>
      <c r="R589" t="s">
        <v>17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tr">
        <f t="shared" si="38"/>
        <v>theater</v>
      </c>
      <c r="Q590" t="str">
        <f t="shared" si="39"/>
        <v>plays</v>
      </c>
      <c r="R590" t="s">
        <v>33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tr">
        <f t="shared" si="38"/>
        <v>film &amp; video</v>
      </c>
      <c r="Q591" t="str">
        <f t="shared" si="39"/>
        <v>documentary</v>
      </c>
      <c r="R591" t="s">
        <v>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tr">
        <f t="shared" si="38"/>
        <v>publishing</v>
      </c>
      <c r="Q592" t="str">
        <f t="shared" si="39"/>
        <v>radio &amp; podcasts</v>
      </c>
      <c r="R592" t="s">
        <v>133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tr">
        <f t="shared" si="38"/>
        <v>games</v>
      </c>
      <c r="Q593" t="str">
        <f t="shared" si="39"/>
        <v>video games</v>
      </c>
      <c r="R593" t="s">
        <v>89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tr">
        <f t="shared" si="38"/>
        <v>theater</v>
      </c>
      <c r="Q594" t="str">
        <f t="shared" si="39"/>
        <v>plays</v>
      </c>
      <c r="R594" t="s">
        <v>33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tr">
        <f t="shared" si="38"/>
        <v>film &amp; video</v>
      </c>
      <c r="Q595" t="str">
        <f t="shared" si="39"/>
        <v>animation</v>
      </c>
      <c r="R595" t="s">
        <v>71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tr">
        <f t="shared" si="38"/>
        <v>theater</v>
      </c>
      <c r="Q596" t="str">
        <f t="shared" si="39"/>
        <v>plays</v>
      </c>
      <c r="R596" t="s">
        <v>33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tr">
        <f t="shared" si="38"/>
        <v>theater</v>
      </c>
      <c r="Q597" t="str">
        <f t="shared" si="39"/>
        <v>plays</v>
      </c>
      <c r="R597" t="s">
        <v>33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tr">
        <f t="shared" si="38"/>
        <v>film &amp; video</v>
      </c>
      <c r="Q598" t="str">
        <f t="shared" si="39"/>
        <v>drama</v>
      </c>
      <c r="R598" t="s">
        <v>53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tr">
        <f t="shared" si="38"/>
        <v>theater</v>
      </c>
      <c r="Q599" t="str">
        <f t="shared" si="39"/>
        <v>plays</v>
      </c>
      <c r="R599" t="s">
        <v>33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tr">
        <f t="shared" si="38"/>
        <v>music</v>
      </c>
      <c r="Q600" t="str">
        <f t="shared" si="39"/>
        <v>rock</v>
      </c>
      <c r="R600" t="s">
        <v>23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tr">
        <f t="shared" si="38"/>
        <v>film &amp; video</v>
      </c>
      <c r="Q601" t="str">
        <f t="shared" si="39"/>
        <v>documentary</v>
      </c>
      <c r="R601" t="s">
        <v>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tr">
        <f t="shared" si="38"/>
        <v>food</v>
      </c>
      <c r="Q602" t="str">
        <f t="shared" si="39"/>
        <v>food trucks</v>
      </c>
      <c r="R602" t="s">
        <v>17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tr">
        <f t="shared" si="38"/>
        <v>technology</v>
      </c>
      <c r="Q603" t="str">
        <f t="shared" si="39"/>
        <v>wearables</v>
      </c>
      <c r="R603" t="s">
        <v>65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tr">
        <f t="shared" si="38"/>
        <v>theater</v>
      </c>
      <c r="Q604" t="str">
        <f t="shared" si="39"/>
        <v>plays</v>
      </c>
      <c r="R604" t="s">
        <v>33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tr">
        <f t="shared" si="38"/>
        <v>theater</v>
      </c>
      <c r="Q605" t="str">
        <f t="shared" si="39"/>
        <v>plays</v>
      </c>
      <c r="R605" t="s">
        <v>33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tr">
        <f t="shared" si="38"/>
        <v>theater</v>
      </c>
      <c r="Q606" t="str">
        <f t="shared" si="39"/>
        <v>plays</v>
      </c>
      <c r="R606" t="s">
        <v>33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tr">
        <f t="shared" si="38"/>
        <v>publishing</v>
      </c>
      <c r="Q607" t="str">
        <f t="shared" si="39"/>
        <v>nonfiction</v>
      </c>
      <c r="R607" t="s">
        <v>68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tr">
        <f t="shared" si="38"/>
        <v>music</v>
      </c>
      <c r="Q608" t="str">
        <f t="shared" si="39"/>
        <v>rock</v>
      </c>
      <c r="R608" t="s">
        <v>23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tr">
        <f t="shared" si="38"/>
        <v>food</v>
      </c>
      <c r="Q609" t="str">
        <f t="shared" si="39"/>
        <v>food trucks</v>
      </c>
      <c r="R609" t="s">
        <v>17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tr">
        <f t="shared" si="38"/>
        <v>music</v>
      </c>
      <c r="Q610" t="str">
        <f t="shared" si="39"/>
        <v>jazz</v>
      </c>
      <c r="R610" t="s">
        <v>159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tr">
        <f t="shared" si="38"/>
        <v>film &amp; video</v>
      </c>
      <c r="Q611" t="str">
        <f t="shared" si="39"/>
        <v>science fiction</v>
      </c>
      <c r="R611" t="s">
        <v>474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tr">
        <f t="shared" si="38"/>
        <v>theater</v>
      </c>
      <c r="Q612" t="str">
        <f t="shared" si="39"/>
        <v>plays</v>
      </c>
      <c r="R612" t="s">
        <v>33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tr">
        <f t="shared" si="38"/>
        <v>theater</v>
      </c>
      <c r="Q613" t="str">
        <f t="shared" si="39"/>
        <v>plays</v>
      </c>
      <c r="R613" t="s">
        <v>33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tr">
        <f t="shared" si="38"/>
        <v>music</v>
      </c>
      <c r="Q614" t="str">
        <f t="shared" si="39"/>
        <v>electric music</v>
      </c>
      <c r="R614" t="s">
        <v>50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tr">
        <f t="shared" si="38"/>
        <v>theater</v>
      </c>
      <c r="Q615" t="str">
        <f t="shared" si="39"/>
        <v>plays</v>
      </c>
      <c r="R615" t="s">
        <v>33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tr">
        <f t="shared" si="38"/>
        <v>theater</v>
      </c>
      <c r="Q616" t="str">
        <f t="shared" si="39"/>
        <v>plays</v>
      </c>
      <c r="R616" t="s">
        <v>33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tr">
        <f t="shared" si="38"/>
        <v>theater</v>
      </c>
      <c r="Q617" t="str">
        <f t="shared" si="39"/>
        <v>plays</v>
      </c>
      <c r="R617" t="s">
        <v>33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tr">
        <f t="shared" si="38"/>
        <v>music</v>
      </c>
      <c r="Q618" t="str">
        <f t="shared" si="39"/>
        <v>indie rock</v>
      </c>
      <c r="R618" t="s">
        <v>60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tr">
        <f t="shared" si="38"/>
        <v>theater</v>
      </c>
      <c r="Q619" t="str">
        <f t="shared" si="39"/>
        <v>plays</v>
      </c>
      <c r="R619" t="s">
        <v>33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tr">
        <f t="shared" si="38"/>
        <v>publishing</v>
      </c>
      <c r="Q620" t="str">
        <f t="shared" si="39"/>
        <v>nonfiction</v>
      </c>
      <c r="R620" t="s">
        <v>68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tr">
        <f t="shared" si="38"/>
        <v>theater</v>
      </c>
      <c r="Q621" t="str">
        <f t="shared" si="39"/>
        <v>plays</v>
      </c>
      <c r="R621" t="s">
        <v>33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tr">
        <f t="shared" si="38"/>
        <v>photography</v>
      </c>
      <c r="Q622" t="str">
        <f t="shared" si="39"/>
        <v>photography books</v>
      </c>
      <c r="R622" t="s">
        <v>122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tr">
        <f t="shared" si="38"/>
        <v>theater</v>
      </c>
      <c r="Q623" t="str">
        <f t="shared" si="39"/>
        <v>plays</v>
      </c>
      <c r="R623" t="s">
        <v>33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tr">
        <f t="shared" si="38"/>
        <v>music</v>
      </c>
      <c r="Q624" t="str">
        <f t="shared" si="39"/>
        <v>indie rock</v>
      </c>
      <c r="R624" t="s">
        <v>60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tr">
        <f t="shared" si="38"/>
        <v>theater</v>
      </c>
      <c r="Q625" t="str">
        <f t="shared" si="39"/>
        <v>plays</v>
      </c>
      <c r="R625" t="s">
        <v>33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tr">
        <f t="shared" si="38"/>
        <v>photography</v>
      </c>
      <c r="Q626" t="str">
        <f t="shared" si="39"/>
        <v>photography books</v>
      </c>
      <c r="R626" t="s">
        <v>122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tr">
        <f t="shared" si="38"/>
        <v>theater</v>
      </c>
      <c r="Q627" t="str">
        <f t="shared" si="39"/>
        <v>plays</v>
      </c>
      <c r="R627" t="s">
        <v>33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tr">
        <f t="shared" si="38"/>
        <v>theater</v>
      </c>
      <c r="Q628" t="str">
        <f t="shared" si="39"/>
        <v>plays</v>
      </c>
      <c r="R628" t="s">
        <v>33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tr">
        <f t="shared" si="38"/>
        <v>food</v>
      </c>
      <c r="Q629" t="str">
        <f t="shared" si="39"/>
        <v>food trucks</v>
      </c>
      <c r="R629" t="s">
        <v>17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tr">
        <f t="shared" si="38"/>
        <v>music</v>
      </c>
      <c r="Q630" t="str">
        <f t="shared" si="39"/>
        <v>indie rock</v>
      </c>
      <c r="R630" t="s">
        <v>60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tr">
        <f t="shared" si="38"/>
        <v>theater</v>
      </c>
      <c r="Q631" t="str">
        <f t="shared" si="39"/>
        <v>plays</v>
      </c>
      <c r="R631" t="s">
        <v>33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tr">
        <f t="shared" si="38"/>
        <v>theater</v>
      </c>
      <c r="Q632" t="str">
        <f t="shared" si="39"/>
        <v>plays</v>
      </c>
      <c r="R632" t="s">
        <v>33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tr">
        <f t="shared" si="38"/>
        <v>theater</v>
      </c>
      <c r="Q633" t="str">
        <f t="shared" si="39"/>
        <v>plays</v>
      </c>
      <c r="R633" t="s">
        <v>33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tr">
        <f t="shared" si="38"/>
        <v>theater</v>
      </c>
      <c r="Q634" t="str">
        <f t="shared" si="39"/>
        <v>plays</v>
      </c>
      <c r="R634" t="s">
        <v>33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tr">
        <f t="shared" si="38"/>
        <v>film &amp; video</v>
      </c>
      <c r="Q635" t="str">
        <f t="shared" si="39"/>
        <v>animation</v>
      </c>
      <c r="R635" t="s">
        <v>71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tr">
        <f t="shared" si="38"/>
        <v>film &amp; video</v>
      </c>
      <c r="Q636" t="str">
        <f t="shared" si="39"/>
        <v>television</v>
      </c>
      <c r="R636" t="s">
        <v>269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tr">
        <f t="shared" si="38"/>
        <v>film &amp; video</v>
      </c>
      <c r="Q637" t="str">
        <f t="shared" si="39"/>
        <v>television</v>
      </c>
      <c r="R637" t="s">
        <v>269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tr">
        <f t="shared" si="38"/>
        <v>film &amp; video</v>
      </c>
      <c r="Q638" t="str">
        <f t="shared" si="39"/>
        <v>animation</v>
      </c>
      <c r="R638" t="s">
        <v>71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tr">
        <f t="shared" si="38"/>
        <v>theater</v>
      </c>
      <c r="Q639" t="str">
        <f t="shared" si="39"/>
        <v>plays</v>
      </c>
      <c r="R639" t="s">
        <v>33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tr">
        <f t="shared" si="38"/>
        <v>theater</v>
      </c>
      <c r="Q640" t="str">
        <f t="shared" si="39"/>
        <v>plays</v>
      </c>
      <c r="R640" t="s">
        <v>33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tr">
        <f t="shared" si="38"/>
        <v>film &amp; video</v>
      </c>
      <c r="Q641" t="str">
        <f t="shared" si="39"/>
        <v>drama</v>
      </c>
      <c r="R641" t="s">
        <v>53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tr">
        <f t="shared" si="38"/>
        <v>theater</v>
      </c>
      <c r="Q642" t="str">
        <f t="shared" si="39"/>
        <v>plays</v>
      </c>
      <c r="R642" t="s">
        <v>33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E643/D643*100</f>
        <v>119.96808510638297</v>
      </c>
      <c r="G643" t="s">
        <v>20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tr">
        <f t="shared" ref="P643:P706" si="42">_xlfn.TEXTBEFORE(R643,"/")</f>
        <v>theater</v>
      </c>
      <c r="Q643" t="str">
        <f t="shared" ref="Q643:Q706" si="43">_xlfn.TEXTAFTER(R643,"/")</f>
        <v>plays</v>
      </c>
      <c r="R643" t="s">
        <v>33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tr">
        <f t="shared" si="42"/>
        <v>technology</v>
      </c>
      <c r="Q644" t="str">
        <f t="shared" si="43"/>
        <v>wearables</v>
      </c>
      <c r="R644" t="s">
        <v>65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tr">
        <f t="shared" si="42"/>
        <v>theater</v>
      </c>
      <c r="Q645" t="str">
        <f t="shared" si="43"/>
        <v>plays</v>
      </c>
      <c r="R645" t="s">
        <v>33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tr">
        <f t="shared" si="42"/>
        <v>theater</v>
      </c>
      <c r="Q646" t="str">
        <f t="shared" si="43"/>
        <v>plays</v>
      </c>
      <c r="R646" t="s">
        <v>33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tr">
        <f t="shared" si="42"/>
        <v>music</v>
      </c>
      <c r="Q647" t="str">
        <f t="shared" si="43"/>
        <v>rock</v>
      </c>
      <c r="R647" t="s">
        <v>23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tr">
        <f t="shared" si="42"/>
        <v>games</v>
      </c>
      <c r="Q648" t="str">
        <f t="shared" si="43"/>
        <v>video games</v>
      </c>
      <c r="R648" t="s">
        <v>89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tr">
        <f t="shared" si="42"/>
        <v>publishing</v>
      </c>
      <c r="Q649" t="str">
        <f t="shared" si="43"/>
        <v>translations</v>
      </c>
      <c r="R649" t="s">
        <v>206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tr">
        <f t="shared" si="42"/>
        <v>food</v>
      </c>
      <c r="Q650" t="str">
        <f t="shared" si="43"/>
        <v>food trucks</v>
      </c>
      <c r="R650" t="s">
        <v>17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tr">
        <f t="shared" si="42"/>
        <v>theater</v>
      </c>
      <c r="Q651" t="str">
        <f t="shared" si="43"/>
        <v>plays</v>
      </c>
      <c r="R651" t="s">
        <v>33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tr">
        <f t="shared" si="42"/>
        <v>music</v>
      </c>
      <c r="Q652" t="str">
        <f t="shared" si="43"/>
        <v>jazz</v>
      </c>
      <c r="R652" t="s">
        <v>159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tr">
        <f t="shared" si="42"/>
        <v>film &amp; video</v>
      </c>
      <c r="Q653" t="str">
        <f t="shared" si="43"/>
        <v>shorts</v>
      </c>
      <c r="R653" t="s">
        <v>100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tr">
        <f t="shared" si="42"/>
        <v>technology</v>
      </c>
      <c r="Q654" t="str">
        <f t="shared" si="43"/>
        <v>web</v>
      </c>
      <c r="R654" t="s">
        <v>28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tr">
        <f t="shared" si="42"/>
        <v>technology</v>
      </c>
      <c r="Q655" t="str">
        <f t="shared" si="43"/>
        <v>web</v>
      </c>
      <c r="R655" t="s">
        <v>28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tr">
        <f t="shared" si="42"/>
        <v>music</v>
      </c>
      <c r="Q656" t="str">
        <f t="shared" si="43"/>
        <v>metal</v>
      </c>
      <c r="R656" t="s">
        <v>148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tr">
        <f t="shared" si="42"/>
        <v>photography</v>
      </c>
      <c r="Q657" t="str">
        <f t="shared" si="43"/>
        <v>photography books</v>
      </c>
      <c r="R657" t="s">
        <v>122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tr">
        <f t="shared" si="42"/>
        <v>food</v>
      </c>
      <c r="Q658" t="str">
        <f t="shared" si="43"/>
        <v>food trucks</v>
      </c>
      <c r="R658" t="s">
        <v>17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tr">
        <f t="shared" si="42"/>
        <v>film &amp; video</v>
      </c>
      <c r="Q659" t="str">
        <f t="shared" si="43"/>
        <v>science fiction</v>
      </c>
      <c r="R659" t="s">
        <v>474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tr">
        <f t="shared" si="42"/>
        <v>music</v>
      </c>
      <c r="Q660" t="str">
        <f t="shared" si="43"/>
        <v>rock</v>
      </c>
      <c r="R660" t="s">
        <v>23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tr">
        <f t="shared" si="42"/>
        <v>film &amp; video</v>
      </c>
      <c r="Q661" t="str">
        <f t="shared" si="43"/>
        <v>documentary</v>
      </c>
      <c r="R661" t="s">
        <v>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tr">
        <f t="shared" si="42"/>
        <v>theater</v>
      </c>
      <c r="Q662" t="str">
        <f t="shared" si="43"/>
        <v>plays</v>
      </c>
      <c r="R662" t="s">
        <v>33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tr">
        <f t="shared" si="42"/>
        <v>music</v>
      </c>
      <c r="Q663" t="str">
        <f t="shared" si="43"/>
        <v>jazz</v>
      </c>
      <c r="R663" t="s">
        <v>159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tr">
        <f t="shared" si="42"/>
        <v>theater</v>
      </c>
      <c r="Q664" t="str">
        <f t="shared" si="43"/>
        <v>plays</v>
      </c>
      <c r="R664" t="s">
        <v>33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tr">
        <f t="shared" si="42"/>
        <v>theater</v>
      </c>
      <c r="Q665" t="str">
        <f t="shared" si="43"/>
        <v>plays</v>
      </c>
      <c r="R665" t="s">
        <v>33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tr">
        <f t="shared" si="42"/>
        <v>music</v>
      </c>
      <c r="Q666" t="str">
        <f t="shared" si="43"/>
        <v>jazz</v>
      </c>
      <c r="R666" t="s">
        <v>159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tr">
        <f t="shared" si="42"/>
        <v>film &amp; video</v>
      </c>
      <c r="Q667" t="str">
        <f t="shared" si="43"/>
        <v>documentary</v>
      </c>
      <c r="R667" t="s">
        <v>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tr">
        <f t="shared" si="42"/>
        <v>theater</v>
      </c>
      <c r="Q668" t="str">
        <f t="shared" si="43"/>
        <v>plays</v>
      </c>
      <c r="R668" t="s">
        <v>33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tr">
        <f t="shared" si="42"/>
        <v>journalism</v>
      </c>
      <c r="Q669" t="str">
        <f t="shared" si="43"/>
        <v>audio</v>
      </c>
      <c r="R669" t="s">
        <v>1029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tr">
        <f t="shared" si="42"/>
        <v>theater</v>
      </c>
      <c r="Q670" t="str">
        <f t="shared" si="43"/>
        <v>plays</v>
      </c>
      <c r="R670" t="s">
        <v>33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tr">
        <f t="shared" si="42"/>
        <v>theater</v>
      </c>
      <c r="Q671" t="str">
        <f t="shared" si="43"/>
        <v>plays</v>
      </c>
      <c r="R671" t="s">
        <v>33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tr">
        <f t="shared" si="42"/>
        <v>music</v>
      </c>
      <c r="Q672" t="str">
        <f t="shared" si="43"/>
        <v>indie rock</v>
      </c>
      <c r="R672" t="s">
        <v>60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tr">
        <f t="shared" si="42"/>
        <v>theater</v>
      </c>
      <c r="Q673" t="str">
        <f t="shared" si="43"/>
        <v>plays</v>
      </c>
      <c r="R673" t="s">
        <v>33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tr">
        <f t="shared" si="42"/>
        <v>theater</v>
      </c>
      <c r="Q674" t="str">
        <f t="shared" si="43"/>
        <v>plays</v>
      </c>
      <c r="R674" t="s">
        <v>33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tr">
        <f t="shared" si="42"/>
        <v>music</v>
      </c>
      <c r="Q675" t="str">
        <f t="shared" si="43"/>
        <v>indie rock</v>
      </c>
      <c r="R675" t="s">
        <v>60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tr">
        <f t="shared" si="42"/>
        <v>photography</v>
      </c>
      <c r="Q676" t="str">
        <f t="shared" si="43"/>
        <v>photography books</v>
      </c>
      <c r="R676" t="s">
        <v>122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tr">
        <f t="shared" si="42"/>
        <v>journalism</v>
      </c>
      <c r="Q677" t="str">
        <f t="shared" si="43"/>
        <v>audio</v>
      </c>
      <c r="R677" t="s">
        <v>1029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tr">
        <f t="shared" si="42"/>
        <v>photography</v>
      </c>
      <c r="Q678" t="str">
        <f t="shared" si="43"/>
        <v>photography books</v>
      </c>
      <c r="R678" t="s">
        <v>122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tr">
        <f t="shared" si="42"/>
        <v>publishing</v>
      </c>
      <c r="Q679" t="str">
        <f t="shared" si="43"/>
        <v>fiction</v>
      </c>
      <c r="R679" t="s">
        <v>119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tr">
        <f t="shared" si="42"/>
        <v>film &amp; video</v>
      </c>
      <c r="Q680" t="str">
        <f t="shared" si="43"/>
        <v>drama</v>
      </c>
      <c r="R680" t="s">
        <v>53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tr">
        <f t="shared" si="42"/>
        <v>food</v>
      </c>
      <c r="Q681" t="str">
        <f t="shared" si="43"/>
        <v>food trucks</v>
      </c>
      <c r="R681" t="s">
        <v>17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tr">
        <f t="shared" si="42"/>
        <v>games</v>
      </c>
      <c r="Q682" t="str">
        <f t="shared" si="43"/>
        <v>mobile games</v>
      </c>
      <c r="R682" t="s">
        <v>292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tr">
        <f t="shared" si="42"/>
        <v>theater</v>
      </c>
      <c r="Q683" t="str">
        <f t="shared" si="43"/>
        <v>plays</v>
      </c>
      <c r="R683" t="s">
        <v>33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tr">
        <f t="shared" si="42"/>
        <v>theater</v>
      </c>
      <c r="Q684" t="str">
        <f t="shared" si="43"/>
        <v>plays</v>
      </c>
      <c r="R684" t="s">
        <v>33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tr">
        <f t="shared" si="42"/>
        <v>theater</v>
      </c>
      <c r="Q685" t="str">
        <f t="shared" si="43"/>
        <v>plays</v>
      </c>
      <c r="R685" t="s">
        <v>33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tr">
        <f t="shared" si="42"/>
        <v>publishing</v>
      </c>
      <c r="Q686" t="str">
        <f t="shared" si="43"/>
        <v>nonfiction</v>
      </c>
      <c r="R686" t="s">
        <v>68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tr">
        <f t="shared" si="42"/>
        <v>theater</v>
      </c>
      <c r="Q687" t="str">
        <f t="shared" si="43"/>
        <v>plays</v>
      </c>
      <c r="R687" t="s">
        <v>33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tr">
        <f t="shared" si="42"/>
        <v>technology</v>
      </c>
      <c r="Q688" t="str">
        <f t="shared" si="43"/>
        <v>wearables</v>
      </c>
      <c r="R688" t="s">
        <v>65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tr">
        <f t="shared" si="42"/>
        <v>theater</v>
      </c>
      <c r="Q689" t="str">
        <f t="shared" si="43"/>
        <v>plays</v>
      </c>
      <c r="R689" t="s">
        <v>33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tr">
        <f t="shared" si="42"/>
        <v>film &amp; video</v>
      </c>
      <c r="Q690" t="str">
        <f t="shared" si="43"/>
        <v>television</v>
      </c>
      <c r="R690" t="s">
        <v>269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tr">
        <f t="shared" si="42"/>
        <v>technology</v>
      </c>
      <c r="Q691" t="str">
        <f t="shared" si="43"/>
        <v>web</v>
      </c>
      <c r="R691" t="s">
        <v>28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tr">
        <f t="shared" si="42"/>
        <v>film &amp; video</v>
      </c>
      <c r="Q692" t="str">
        <f t="shared" si="43"/>
        <v>documentary</v>
      </c>
      <c r="R692" t="s">
        <v>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tr">
        <f t="shared" si="42"/>
        <v>film &amp; video</v>
      </c>
      <c r="Q693" t="str">
        <f t="shared" si="43"/>
        <v>documentary</v>
      </c>
      <c r="R693" t="s">
        <v>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tr">
        <f t="shared" si="42"/>
        <v>music</v>
      </c>
      <c r="Q694" t="str">
        <f t="shared" si="43"/>
        <v>rock</v>
      </c>
      <c r="R694" t="s">
        <v>23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tr">
        <f t="shared" si="42"/>
        <v>theater</v>
      </c>
      <c r="Q695" t="str">
        <f t="shared" si="43"/>
        <v>plays</v>
      </c>
      <c r="R695" t="s">
        <v>33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tr">
        <f t="shared" si="42"/>
        <v>theater</v>
      </c>
      <c r="Q696" t="str">
        <f t="shared" si="43"/>
        <v>plays</v>
      </c>
      <c r="R696" t="s">
        <v>33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tr">
        <f t="shared" si="42"/>
        <v>music</v>
      </c>
      <c r="Q697" t="str">
        <f t="shared" si="43"/>
        <v>rock</v>
      </c>
      <c r="R697" t="s">
        <v>23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tr">
        <f t="shared" si="42"/>
        <v>theater</v>
      </c>
      <c r="Q698" t="str">
        <f t="shared" si="43"/>
        <v>plays</v>
      </c>
      <c r="R698" t="s">
        <v>33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tr">
        <f t="shared" si="42"/>
        <v>music</v>
      </c>
      <c r="Q699" t="str">
        <f t="shared" si="43"/>
        <v>electric music</v>
      </c>
      <c r="R699" t="s">
        <v>50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tr">
        <f t="shared" si="42"/>
        <v>technology</v>
      </c>
      <c r="Q700" t="str">
        <f t="shared" si="43"/>
        <v>wearables</v>
      </c>
      <c r="R700" t="s">
        <v>65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tr">
        <f t="shared" si="42"/>
        <v>film &amp; video</v>
      </c>
      <c r="Q701" t="str">
        <f t="shared" si="43"/>
        <v>drama</v>
      </c>
      <c r="R701" t="s">
        <v>53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tr">
        <f t="shared" si="42"/>
        <v>technology</v>
      </c>
      <c r="Q702" t="str">
        <f t="shared" si="43"/>
        <v>wearables</v>
      </c>
      <c r="R702" t="s">
        <v>65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tr">
        <f t="shared" si="42"/>
        <v>theater</v>
      </c>
      <c r="Q703" t="str">
        <f t="shared" si="43"/>
        <v>plays</v>
      </c>
      <c r="R703" t="s">
        <v>33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tr">
        <f t="shared" si="42"/>
        <v>technology</v>
      </c>
      <c r="Q704" t="str">
        <f t="shared" si="43"/>
        <v>wearables</v>
      </c>
      <c r="R704" t="s">
        <v>65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tr">
        <f t="shared" si="42"/>
        <v>publishing</v>
      </c>
      <c r="Q705" t="str">
        <f t="shared" si="43"/>
        <v>translations</v>
      </c>
      <c r="R705" t="s">
        <v>206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tr">
        <f t="shared" si="42"/>
        <v>film &amp; video</v>
      </c>
      <c r="Q706" t="str">
        <f t="shared" si="43"/>
        <v>animation</v>
      </c>
      <c r="R706" t="s">
        <v>71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E707/D707*100</f>
        <v>99.026517383618156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tr">
        <f t="shared" ref="P707:P770" si="46">_xlfn.TEXTBEFORE(R707,"/")</f>
        <v>publishing</v>
      </c>
      <c r="Q707" t="str">
        <f t="shared" ref="Q707:Q770" si="47">_xlfn.TEXTAFTER(R707,"/")</f>
        <v>nonfiction</v>
      </c>
      <c r="R707" t="s">
        <v>68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tr">
        <f t="shared" si="46"/>
        <v>technology</v>
      </c>
      <c r="Q708" t="str">
        <f t="shared" si="47"/>
        <v>web</v>
      </c>
      <c r="R708" t="s">
        <v>28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tr">
        <f t="shared" si="46"/>
        <v>film &amp; video</v>
      </c>
      <c r="Q709" t="str">
        <f t="shared" si="47"/>
        <v>drama</v>
      </c>
      <c r="R709" t="s">
        <v>53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tr">
        <f t="shared" si="46"/>
        <v>theater</v>
      </c>
      <c r="Q710" t="str">
        <f t="shared" si="47"/>
        <v>plays</v>
      </c>
      <c r="R710" t="s">
        <v>33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tr">
        <f t="shared" si="46"/>
        <v>theater</v>
      </c>
      <c r="Q711" t="str">
        <f t="shared" si="47"/>
        <v>plays</v>
      </c>
      <c r="R711" t="s">
        <v>33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tr">
        <f t="shared" si="46"/>
        <v>theater</v>
      </c>
      <c r="Q712" t="str">
        <f t="shared" si="47"/>
        <v>plays</v>
      </c>
      <c r="R712" t="s">
        <v>33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tr">
        <f t="shared" si="46"/>
        <v>theater</v>
      </c>
      <c r="Q713" t="str">
        <f t="shared" si="47"/>
        <v>plays</v>
      </c>
      <c r="R713" t="s">
        <v>33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tr">
        <f t="shared" si="46"/>
        <v>theater</v>
      </c>
      <c r="Q714" t="str">
        <f t="shared" si="47"/>
        <v>plays</v>
      </c>
      <c r="R714" t="s">
        <v>33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tr">
        <f t="shared" si="46"/>
        <v>publishing</v>
      </c>
      <c r="Q715" t="str">
        <f t="shared" si="47"/>
        <v>radio &amp; podcasts</v>
      </c>
      <c r="R715" t="s">
        <v>133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tr">
        <f t="shared" si="46"/>
        <v>music</v>
      </c>
      <c r="Q716" t="str">
        <f t="shared" si="47"/>
        <v>rock</v>
      </c>
      <c r="R716" t="s">
        <v>23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tr">
        <f t="shared" si="46"/>
        <v>games</v>
      </c>
      <c r="Q717" t="str">
        <f t="shared" si="47"/>
        <v>mobile games</v>
      </c>
      <c r="R717" t="s">
        <v>292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tr">
        <f t="shared" si="46"/>
        <v>theater</v>
      </c>
      <c r="Q718" t="str">
        <f t="shared" si="47"/>
        <v>plays</v>
      </c>
      <c r="R718" t="s">
        <v>33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tr">
        <f t="shared" si="46"/>
        <v>film &amp; video</v>
      </c>
      <c r="Q719" t="str">
        <f t="shared" si="47"/>
        <v>documentary</v>
      </c>
      <c r="R719" t="s">
        <v>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tr">
        <f t="shared" si="46"/>
        <v>technology</v>
      </c>
      <c r="Q720" t="str">
        <f t="shared" si="47"/>
        <v>wearables</v>
      </c>
      <c r="R720" t="s">
        <v>65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tr">
        <f t="shared" si="46"/>
        <v>publishing</v>
      </c>
      <c r="Q721" t="str">
        <f t="shared" si="47"/>
        <v>fiction</v>
      </c>
      <c r="R721" t="s">
        <v>119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tr">
        <f t="shared" si="46"/>
        <v>theater</v>
      </c>
      <c r="Q722" t="str">
        <f t="shared" si="47"/>
        <v>plays</v>
      </c>
      <c r="R722" t="s">
        <v>33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tr">
        <f t="shared" si="46"/>
        <v>music</v>
      </c>
      <c r="Q723" t="str">
        <f t="shared" si="47"/>
        <v>rock</v>
      </c>
      <c r="R723" t="s">
        <v>23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tr">
        <f t="shared" si="46"/>
        <v>film &amp; video</v>
      </c>
      <c r="Q724" t="str">
        <f t="shared" si="47"/>
        <v>documentary</v>
      </c>
      <c r="R724" t="s">
        <v>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tr">
        <f t="shared" si="46"/>
        <v>theater</v>
      </c>
      <c r="Q725" t="str">
        <f t="shared" si="47"/>
        <v>plays</v>
      </c>
      <c r="R725" t="s">
        <v>33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tr">
        <f t="shared" si="46"/>
        <v>theater</v>
      </c>
      <c r="Q726" t="str">
        <f t="shared" si="47"/>
        <v>plays</v>
      </c>
      <c r="R726" t="s">
        <v>33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tr">
        <f t="shared" si="46"/>
        <v>games</v>
      </c>
      <c r="Q727" t="str">
        <f t="shared" si="47"/>
        <v>mobile games</v>
      </c>
      <c r="R727" t="s">
        <v>292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tr">
        <f t="shared" si="46"/>
        <v>theater</v>
      </c>
      <c r="Q728" t="str">
        <f t="shared" si="47"/>
        <v>plays</v>
      </c>
      <c r="R728" t="s">
        <v>33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tr">
        <f t="shared" si="46"/>
        <v>technology</v>
      </c>
      <c r="Q729" t="str">
        <f t="shared" si="47"/>
        <v>web</v>
      </c>
      <c r="R729" t="s">
        <v>28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tr">
        <f t="shared" si="46"/>
        <v>theater</v>
      </c>
      <c r="Q730" t="str">
        <f t="shared" si="47"/>
        <v>plays</v>
      </c>
      <c r="R730" t="s">
        <v>33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tr">
        <f t="shared" si="46"/>
        <v>film &amp; video</v>
      </c>
      <c r="Q731" t="str">
        <f t="shared" si="47"/>
        <v>drama</v>
      </c>
      <c r="R731" t="s">
        <v>53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tr">
        <f t="shared" si="46"/>
        <v>technology</v>
      </c>
      <c r="Q732" t="str">
        <f t="shared" si="47"/>
        <v>wearables</v>
      </c>
      <c r="R732" t="s">
        <v>65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tr">
        <f t="shared" si="46"/>
        <v>technology</v>
      </c>
      <c r="Q733" t="str">
        <f t="shared" si="47"/>
        <v>web</v>
      </c>
      <c r="R733" t="s">
        <v>28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tr">
        <f t="shared" si="46"/>
        <v>music</v>
      </c>
      <c r="Q734" t="str">
        <f t="shared" si="47"/>
        <v>rock</v>
      </c>
      <c r="R734" t="s">
        <v>23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tr">
        <f t="shared" si="46"/>
        <v>music</v>
      </c>
      <c r="Q735" t="str">
        <f t="shared" si="47"/>
        <v>metal</v>
      </c>
      <c r="R735" t="s">
        <v>148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tr">
        <f t="shared" si="46"/>
        <v>theater</v>
      </c>
      <c r="Q736" t="str">
        <f t="shared" si="47"/>
        <v>plays</v>
      </c>
      <c r="R736" t="s">
        <v>33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tr">
        <f t="shared" si="46"/>
        <v>photography</v>
      </c>
      <c r="Q737" t="str">
        <f t="shared" si="47"/>
        <v>photography books</v>
      </c>
      <c r="R737" t="s">
        <v>122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tr">
        <f t="shared" si="46"/>
        <v>publishing</v>
      </c>
      <c r="Q738" t="str">
        <f t="shared" si="47"/>
        <v>nonfiction</v>
      </c>
      <c r="R738" t="s">
        <v>68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tr">
        <f t="shared" si="46"/>
        <v>music</v>
      </c>
      <c r="Q739" t="str">
        <f t="shared" si="47"/>
        <v>indie rock</v>
      </c>
      <c r="R739" t="s">
        <v>60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tr">
        <f t="shared" si="46"/>
        <v>theater</v>
      </c>
      <c r="Q740" t="str">
        <f t="shared" si="47"/>
        <v>plays</v>
      </c>
      <c r="R740" t="s">
        <v>33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tr">
        <f t="shared" si="46"/>
        <v>music</v>
      </c>
      <c r="Q741" t="str">
        <f t="shared" si="47"/>
        <v>indie rock</v>
      </c>
      <c r="R741" t="s">
        <v>60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tr">
        <f t="shared" si="46"/>
        <v>theater</v>
      </c>
      <c r="Q742" t="str">
        <f t="shared" si="47"/>
        <v>plays</v>
      </c>
      <c r="R742" t="s">
        <v>33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tr">
        <f t="shared" si="46"/>
        <v>theater</v>
      </c>
      <c r="Q743" t="str">
        <f t="shared" si="47"/>
        <v>plays</v>
      </c>
      <c r="R743" t="s">
        <v>33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tr">
        <f t="shared" si="46"/>
        <v>music</v>
      </c>
      <c r="Q744" t="str">
        <f t="shared" si="47"/>
        <v>electric music</v>
      </c>
      <c r="R744" t="s">
        <v>50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tr">
        <f t="shared" si="46"/>
        <v>theater</v>
      </c>
      <c r="Q745" t="str">
        <f t="shared" si="47"/>
        <v>plays</v>
      </c>
      <c r="R745" t="s">
        <v>33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tr">
        <f t="shared" si="46"/>
        <v>theater</v>
      </c>
      <c r="Q746" t="str">
        <f t="shared" si="47"/>
        <v>plays</v>
      </c>
      <c r="R746" t="s">
        <v>33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tr">
        <f t="shared" si="46"/>
        <v>technology</v>
      </c>
      <c r="Q747" t="str">
        <f t="shared" si="47"/>
        <v>wearables</v>
      </c>
      <c r="R747" t="s">
        <v>65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tr">
        <f t="shared" si="46"/>
        <v>technology</v>
      </c>
      <c r="Q748" t="str">
        <f t="shared" si="47"/>
        <v>web</v>
      </c>
      <c r="R748" t="s">
        <v>28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tr">
        <f t="shared" si="46"/>
        <v>theater</v>
      </c>
      <c r="Q749" t="str">
        <f t="shared" si="47"/>
        <v>plays</v>
      </c>
      <c r="R749" t="s">
        <v>33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tr">
        <f t="shared" si="46"/>
        <v>film &amp; video</v>
      </c>
      <c r="Q750" t="str">
        <f t="shared" si="47"/>
        <v>animation</v>
      </c>
      <c r="R750" t="s">
        <v>71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tr">
        <f t="shared" si="46"/>
        <v>technology</v>
      </c>
      <c r="Q751" t="str">
        <f t="shared" si="47"/>
        <v>wearables</v>
      </c>
      <c r="R751" t="s">
        <v>65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tr">
        <f t="shared" si="46"/>
        <v>music</v>
      </c>
      <c r="Q752" t="str">
        <f t="shared" si="47"/>
        <v>electric music</v>
      </c>
      <c r="R752" t="s">
        <v>50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tr">
        <f t="shared" si="46"/>
        <v>publishing</v>
      </c>
      <c r="Q753" t="str">
        <f t="shared" si="47"/>
        <v>nonfiction</v>
      </c>
      <c r="R753" t="s">
        <v>68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tr">
        <f t="shared" si="46"/>
        <v>theater</v>
      </c>
      <c r="Q754" t="str">
        <f t="shared" si="47"/>
        <v>plays</v>
      </c>
      <c r="R754" t="s">
        <v>33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tr">
        <f t="shared" si="46"/>
        <v>photography</v>
      </c>
      <c r="Q755" t="str">
        <f t="shared" si="47"/>
        <v>photography books</v>
      </c>
      <c r="R755" t="s">
        <v>122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tr">
        <f t="shared" si="46"/>
        <v>theater</v>
      </c>
      <c r="Q756" t="str">
        <f t="shared" si="47"/>
        <v>plays</v>
      </c>
      <c r="R756" t="s">
        <v>33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tr">
        <f t="shared" si="46"/>
        <v>theater</v>
      </c>
      <c r="Q757" t="str">
        <f t="shared" si="47"/>
        <v>plays</v>
      </c>
      <c r="R757" t="s">
        <v>33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tr">
        <f t="shared" si="46"/>
        <v>theater</v>
      </c>
      <c r="Q758" t="str">
        <f t="shared" si="47"/>
        <v>plays</v>
      </c>
      <c r="R758" t="s">
        <v>33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tr">
        <f t="shared" si="46"/>
        <v>film &amp; video</v>
      </c>
      <c r="Q759" t="str">
        <f t="shared" si="47"/>
        <v>drama</v>
      </c>
      <c r="R759" t="s">
        <v>53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tr">
        <f t="shared" si="46"/>
        <v>music</v>
      </c>
      <c r="Q760" t="str">
        <f t="shared" si="47"/>
        <v>rock</v>
      </c>
      <c r="R760" t="s">
        <v>23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tr">
        <f t="shared" si="46"/>
        <v>music</v>
      </c>
      <c r="Q761" t="str">
        <f t="shared" si="47"/>
        <v>electric music</v>
      </c>
      <c r="R761" t="s">
        <v>50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tr">
        <f t="shared" si="46"/>
        <v>games</v>
      </c>
      <c r="Q762" t="str">
        <f t="shared" si="47"/>
        <v>video games</v>
      </c>
      <c r="R762" t="s">
        <v>89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tr">
        <f t="shared" si="46"/>
        <v>music</v>
      </c>
      <c r="Q763" t="str">
        <f t="shared" si="47"/>
        <v>rock</v>
      </c>
      <c r="R763" t="s">
        <v>23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tr">
        <f t="shared" si="46"/>
        <v>music</v>
      </c>
      <c r="Q764" t="str">
        <f t="shared" si="47"/>
        <v>jazz</v>
      </c>
      <c r="R764" t="s">
        <v>159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tr">
        <f t="shared" si="46"/>
        <v>theater</v>
      </c>
      <c r="Q765" t="str">
        <f t="shared" si="47"/>
        <v>plays</v>
      </c>
      <c r="R765" t="s">
        <v>33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tr">
        <f t="shared" si="46"/>
        <v>music</v>
      </c>
      <c r="Q766" t="str">
        <f t="shared" si="47"/>
        <v>rock</v>
      </c>
      <c r="R766" t="s">
        <v>23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tr">
        <f t="shared" si="46"/>
        <v>music</v>
      </c>
      <c r="Q767" t="str">
        <f t="shared" si="47"/>
        <v>indie rock</v>
      </c>
      <c r="R767" t="s">
        <v>60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tr">
        <f t="shared" si="46"/>
        <v>film &amp; video</v>
      </c>
      <c r="Q768" t="str">
        <f t="shared" si="47"/>
        <v>science fiction</v>
      </c>
      <c r="R768" t="s">
        <v>474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tr">
        <f t="shared" si="46"/>
        <v>publishing</v>
      </c>
      <c r="Q769" t="str">
        <f t="shared" si="47"/>
        <v>translations</v>
      </c>
      <c r="R769" t="s">
        <v>206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tr">
        <f t="shared" si="46"/>
        <v>theater</v>
      </c>
      <c r="Q770" t="str">
        <f t="shared" si="47"/>
        <v>plays</v>
      </c>
      <c r="R770" t="s">
        <v>33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E771/D771*100</f>
        <v>86.867834394904463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tr">
        <f t="shared" ref="P771:P834" si="50">_xlfn.TEXTBEFORE(R771,"/")</f>
        <v>games</v>
      </c>
      <c r="Q771" t="str">
        <f t="shared" ref="Q771:Q834" si="51">_xlfn.TEXTAFTER(R771,"/")</f>
        <v>video games</v>
      </c>
      <c r="R771" t="s">
        <v>89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tr">
        <f t="shared" si="50"/>
        <v>theater</v>
      </c>
      <c r="Q772" t="str">
        <f t="shared" si="51"/>
        <v>plays</v>
      </c>
      <c r="R772" t="s">
        <v>33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tr">
        <f t="shared" si="50"/>
        <v>theater</v>
      </c>
      <c r="Q773" t="str">
        <f t="shared" si="51"/>
        <v>plays</v>
      </c>
      <c r="R773" t="s">
        <v>33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tr">
        <f t="shared" si="50"/>
        <v>music</v>
      </c>
      <c r="Q774" t="str">
        <f t="shared" si="51"/>
        <v>indie rock</v>
      </c>
      <c r="R774" t="s">
        <v>60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tr">
        <f t="shared" si="50"/>
        <v>theater</v>
      </c>
      <c r="Q775" t="str">
        <f t="shared" si="51"/>
        <v>plays</v>
      </c>
      <c r="R775" t="s">
        <v>33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tr">
        <f t="shared" si="50"/>
        <v>technology</v>
      </c>
      <c r="Q776" t="str">
        <f t="shared" si="51"/>
        <v>web</v>
      </c>
      <c r="R776" t="s">
        <v>28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tr">
        <f t="shared" si="50"/>
        <v>music</v>
      </c>
      <c r="Q777" t="str">
        <f t="shared" si="51"/>
        <v>rock</v>
      </c>
      <c r="R777" t="s">
        <v>23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tr">
        <f t="shared" si="50"/>
        <v>theater</v>
      </c>
      <c r="Q778" t="str">
        <f t="shared" si="51"/>
        <v>plays</v>
      </c>
      <c r="R778" t="s">
        <v>33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tr">
        <f t="shared" si="50"/>
        <v>theater</v>
      </c>
      <c r="Q779" t="str">
        <f t="shared" si="51"/>
        <v>plays</v>
      </c>
      <c r="R779" t="s">
        <v>33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tr">
        <f t="shared" si="50"/>
        <v>film &amp; video</v>
      </c>
      <c r="Q780" t="str">
        <f t="shared" si="51"/>
        <v>animation</v>
      </c>
      <c r="R780" t="s">
        <v>71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tr">
        <f t="shared" si="50"/>
        <v>theater</v>
      </c>
      <c r="Q781" t="str">
        <f t="shared" si="51"/>
        <v>plays</v>
      </c>
      <c r="R781" t="s">
        <v>33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tr">
        <f t="shared" si="50"/>
        <v>film &amp; video</v>
      </c>
      <c r="Q782" t="str">
        <f t="shared" si="51"/>
        <v>drama</v>
      </c>
      <c r="R782" t="s">
        <v>53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tr">
        <f t="shared" si="50"/>
        <v>theater</v>
      </c>
      <c r="Q783" t="str">
        <f t="shared" si="51"/>
        <v>plays</v>
      </c>
      <c r="R783" t="s">
        <v>33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tr">
        <f t="shared" si="50"/>
        <v>film &amp; video</v>
      </c>
      <c r="Q784" t="str">
        <f t="shared" si="51"/>
        <v>animation</v>
      </c>
      <c r="R784" t="s">
        <v>71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tr">
        <f t="shared" si="50"/>
        <v>music</v>
      </c>
      <c r="Q785" t="str">
        <f t="shared" si="51"/>
        <v>rock</v>
      </c>
      <c r="R785" t="s">
        <v>23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tr">
        <f t="shared" si="50"/>
        <v>technology</v>
      </c>
      <c r="Q786" t="str">
        <f t="shared" si="51"/>
        <v>web</v>
      </c>
      <c r="R786" t="s">
        <v>28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tr">
        <f t="shared" si="50"/>
        <v>film &amp; video</v>
      </c>
      <c r="Q787" t="str">
        <f t="shared" si="51"/>
        <v>animation</v>
      </c>
      <c r="R787" t="s">
        <v>71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tr">
        <f t="shared" si="50"/>
        <v>music</v>
      </c>
      <c r="Q788" t="str">
        <f t="shared" si="51"/>
        <v>jazz</v>
      </c>
      <c r="R788" t="s">
        <v>159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tr">
        <f t="shared" si="50"/>
        <v>music</v>
      </c>
      <c r="Q789" t="str">
        <f t="shared" si="51"/>
        <v>rock</v>
      </c>
      <c r="R789" t="s">
        <v>23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tr">
        <f t="shared" si="50"/>
        <v>film &amp; video</v>
      </c>
      <c r="Q790" t="str">
        <f t="shared" si="51"/>
        <v>animation</v>
      </c>
      <c r="R790" t="s">
        <v>71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tr">
        <f t="shared" si="50"/>
        <v>theater</v>
      </c>
      <c r="Q791" t="str">
        <f t="shared" si="51"/>
        <v>plays</v>
      </c>
      <c r="R791" t="s">
        <v>33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tr">
        <f t="shared" si="50"/>
        <v>theater</v>
      </c>
      <c r="Q792" t="str">
        <f t="shared" si="51"/>
        <v>plays</v>
      </c>
      <c r="R792" t="s">
        <v>33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tr">
        <f t="shared" si="50"/>
        <v>food</v>
      </c>
      <c r="Q793" t="str">
        <f t="shared" si="51"/>
        <v>food trucks</v>
      </c>
      <c r="R793" t="s">
        <v>17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tr">
        <f t="shared" si="50"/>
        <v>theater</v>
      </c>
      <c r="Q794" t="str">
        <f t="shared" si="51"/>
        <v>plays</v>
      </c>
      <c r="R794" t="s">
        <v>33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tr">
        <f t="shared" si="50"/>
        <v>publishing</v>
      </c>
      <c r="Q795" t="str">
        <f t="shared" si="51"/>
        <v>nonfiction</v>
      </c>
      <c r="R795" t="s">
        <v>68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tr">
        <f t="shared" si="50"/>
        <v>music</v>
      </c>
      <c r="Q796" t="str">
        <f t="shared" si="51"/>
        <v>rock</v>
      </c>
      <c r="R796" t="s">
        <v>23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tr">
        <f t="shared" si="50"/>
        <v>film &amp; video</v>
      </c>
      <c r="Q797" t="str">
        <f t="shared" si="51"/>
        <v>drama</v>
      </c>
      <c r="R797" t="s">
        <v>53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tr">
        <f t="shared" si="50"/>
        <v>games</v>
      </c>
      <c r="Q798" t="str">
        <f t="shared" si="51"/>
        <v>mobile games</v>
      </c>
      <c r="R798" t="s">
        <v>292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tr">
        <f t="shared" si="50"/>
        <v>technology</v>
      </c>
      <c r="Q799" t="str">
        <f t="shared" si="51"/>
        <v>web</v>
      </c>
      <c r="R799" t="s">
        <v>28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tr">
        <f t="shared" si="50"/>
        <v>theater</v>
      </c>
      <c r="Q800" t="str">
        <f t="shared" si="51"/>
        <v>plays</v>
      </c>
      <c r="R800" t="s">
        <v>33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tr">
        <f t="shared" si="50"/>
        <v>theater</v>
      </c>
      <c r="Q801" t="str">
        <f t="shared" si="51"/>
        <v>plays</v>
      </c>
      <c r="R801" t="s">
        <v>33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tr">
        <f t="shared" si="50"/>
        <v>music</v>
      </c>
      <c r="Q802" t="str">
        <f t="shared" si="51"/>
        <v>rock</v>
      </c>
      <c r="R802" t="s">
        <v>23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tr">
        <f t="shared" si="50"/>
        <v>photography</v>
      </c>
      <c r="Q803" t="str">
        <f t="shared" si="51"/>
        <v>photography books</v>
      </c>
      <c r="R803" t="s">
        <v>122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tr">
        <f t="shared" si="50"/>
        <v>photography</v>
      </c>
      <c r="Q804" t="str">
        <f t="shared" si="51"/>
        <v>photography books</v>
      </c>
      <c r="R804" t="s">
        <v>122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tr">
        <f t="shared" si="50"/>
        <v>theater</v>
      </c>
      <c r="Q805" t="str">
        <f t="shared" si="51"/>
        <v>plays</v>
      </c>
      <c r="R805" t="s">
        <v>33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tr">
        <f t="shared" si="50"/>
        <v>music</v>
      </c>
      <c r="Q806" t="str">
        <f t="shared" si="51"/>
        <v>rock</v>
      </c>
      <c r="R806" t="s">
        <v>23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tr">
        <f t="shared" si="50"/>
        <v>film &amp; video</v>
      </c>
      <c r="Q807" t="str">
        <f t="shared" si="51"/>
        <v>documentary</v>
      </c>
      <c r="R807" t="s">
        <v>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tr">
        <f t="shared" si="50"/>
        <v>film &amp; video</v>
      </c>
      <c r="Q808" t="str">
        <f t="shared" si="51"/>
        <v>drama</v>
      </c>
      <c r="R808" t="s">
        <v>53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tr">
        <f t="shared" si="50"/>
        <v>theater</v>
      </c>
      <c r="Q809" t="str">
        <f t="shared" si="51"/>
        <v>plays</v>
      </c>
      <c r="R809" t="s">
        <v>33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tr">
        <f t="shared" si="50"/>
        <v>food</v>
      </c>
      <c r="Q810" t="str">
        <f t="shared" si="51"/>
        <v>food trucks</v>
      </c>
      <c r="R810" t="s">
        <v>17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tr">
        <f t="shared" si="50"/>
        <v>film &amp; video</v>
      </c>
      <c r="Q811" t="str">
        <f t="shared" si="51"/>
        <v>documentary</v>
      </c>
      <c r="R811" t="s">
        <v>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tr">
        <f t="shared" si="50"/>
        <v>theater</v>
      </c>
      <c r="Q812" t="str">
        <f t="shared" si="51"/>
        <v>plays</v>
      </c>
      <c r="R812" t="s">
        <v>33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tr">
        <f t="shared" si="50"/>
        <v>games</v>
      </c>
      <c r="Q813" t="str">
        <f t="shared" si="51"/>
        <v>video games</v>
      </c>
      <c r="R813" t="s">
        <v>89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tr">
        <f t="shared" si="50"/>
        <v>publishing</v>
      </c>
      <c r="Q814" t="str">
        <f t="shared" si="51"/>
        <v>nonfiction</v>
      </c>
      <c r="R814" t="s">
        <v>68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tr">
        <f t="shared" si="50"/>
        <v>games</v>
      </c>
      <c r="Q815" t="str">
        <f t="shared" si="51"/>
        <v>video games</v>
      </c>
      <c r="R815" t="s">
        <v>89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tr">
        <f t="shared" si="50"/>
        <v>music</v>
      </c>
      <c r="Q816" t="str">
        <f t="shared" si="51"/>
        <v>rock</v>
      </c>
      <c r="R816" t="s">
        <v>23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tr">
        <f t="shared" si="50"/>
        <v>music</v>
      </c>
      <c r="Q817" t="str">
        <f t="shared" si="51"/>
        <v>rock</v>
      </c>
      <c r="R817" t="s">
        <v>23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tr">
        <f t="shared" si="50"/>
        <v>theater</v>
      </c>
      <c r="Q818" t="str">
        <f t="shared" si="51"/>
        <v>plays</v>
      </c>
      <c r="R818" t="s">
        <v>33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tr">
        <f t="shared" si="50"/>
        <v>publishing</v>
      </c>
      <c r="Q819" t="str">
        <f t="shared" si="51"/>
        <v>nonfiction</v>
      </c>
      <c r="R819" t="s">
        <v>68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tr">
        <f t="shared" si="50"/>
        <v>theater</v>
      </c>
      <c r="Q820" t="str">
        <f t="shared" si="51"/>
        <v>plays</v>
      </c>
      <c r="R820" t="s">
        <v>33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tr">
        <f t="shared" si="50"/>
        <v>games</v>
      </c>
      <c r="Q821" t="str">
        <f t="shared" si="51"/>
        <v>video games</v>
      </c>
      <c r="R821" t="s">
        <v>89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tr">
        <f t="shared" si="50"/>
        <v>music</v>
      </c>
      <c r="Q822" t="str">
        <f t="shared" si="51"/>
        <v>rock</v>
      </c>
      <c r="R822" t="s">
        <v>23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tr">
        <f t="shared" si="50"/>
        <v>film &amp; video</v>
      </c>
      <c r="Q823" t="str">
        <f t="shared" si="51"/>
        <v>documentary</v>
      </c>
      <c r="R823" t="s">
        <v>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tr">
        <f t="shared" si="50"/>
        <v>music</v>
      </c>
      <c r="Q824" t="str">
        <f t="shared" si="51"/>
        <v>rock</v>
      </c>
      <c r="R824" t="s">
        <v>23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tr">
        <f t="shared" si="50"/>
        <v>music</v>
      </c>
      <c r="Q825" t="str">
        <f t="shared" si="51"/>
        <v>rock</v>
      </c>
      <c r="R825" t="s">
        <v>23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tr">
        <f t="shared" si="50"/>
        <v>publishing</v>
      </c>
      <c r="Q826" t="str">
        <f t="shared" si="51"/>
        <v>nonfiction</v>
      </c>
      <c r="R826" t="s">
        <v>68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tr">
        <f t="shared" si="50"/>
        <v>film &amp; video</v>
      </c>
      <c r="Q827" t="str">
        <f t="shared" si="51"/>
        <v>shorts</v>
      </c>
      <c r="R827" t="s">
        <v>100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tr">
        <f t="shared" si="50"/>
        <v>theater</v>
      </c>
      <c r="Q828" t="str">
        <f t="shared" si="51"/>
        <v>plays</v>
      </c>
      <c r="R828" t="s">
        <v>33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tr">
        <f t="shared" si="50"/>
        <v>film &amp; video</v>
      </c>
      <c r="Q829" t="str">
        <f t="shared" si="51"/>
        <v>drama</v>
      </c>
      <c r="R829" t="s">
        <v>53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tr">
        <f t="shared" si="50"/>
        <v>theater</v>
      </c>
      <c r="Q830" t="str">
        <f t="shared" si="51"/>
        <v>plays</v>
      </c>
      <c r="R830" t="s">
        <v>33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tr">
        <f t="shared" si="50"/>
        <v>theater</v>
      </c>
      <c r="Q831" t="str">
        <f t="shared" si="51"/>
        <v>plays</v>
      </c>
      <c r="R831" t="s">
        <v>33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tr">
        <f t="shared" si="50"/>
        <v>theater</v>
      </c>
      <c r="Q832" t="str">
        <f t="shared" si="51"/>
        <v>plays</v>
      </c>
      <c r="R832" t="s">
        <v>33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tr">
        <f t="shared" si="50"/>
        <v>photography</v>
      </c>
      <c r="Q833" t="str">
        <f t="shared" si="51"/>
        <v>photography books</v>
      </c>
      <c r="R833" t="s">
        <v>122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tr">
        <f t="shared" si="50"/>
        <v>publishing</v>
      </c>
      <c r="Q834" t="str">
        <f t="shared" si="51"/>
        <v>translations</v>
      </c>
      <c r="R834" t="s">
        <v>206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E835/D835*100</f>
        <v>157.69117647058823</v>
      </c>
      <c r="G835" t="s">
        <v>20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tr">
        <f t="shared" ref="P835:P898" si="54">_xlfn.TEXTBEFORE(R835,"/")</f>
        <v>publishing</v>
      </c>
      <c r="Q835" t="str">
        <f t="shared" ref="Q835:Q898" si="55">_xlfn.TEXTAFTER(R835,"/")</f>
        <v>translations</v>
      </c>
      <c r="R835" t="s">
        <v>206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tr">
        <f t="shared" si="54"/>
        <v>theater</v>
      </c>
      <c r="Q836" t="str">
        <f t="shared" si="55"/>
        <v>plays</v>
      </c>
      <c r="R836" t="s">
        <v>33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tr">
        <f t="shared" si="54"/>
        <v>technology</v>
      </c>
      <c r="Q837" t="str">
        <f t="shared" si="55"/>
        <v>web</v>
      </c>
      <c r="R837" t="s">
        <v>28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tr">
        <f t="shared" si="54"/>
        <v>music</v>
      </c>
      <c r="Q838" t="str">
        <f t="shared" si="55"/>
        <v>indie rock</v>
      </c>
      <c r="R838" t="s">
        <v>60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tr">
        <f t="shared" si="54"/>
        <v>music</v>
      </c>
      <c r="Q839" t="str">
        <f t="shared" si="55"/>
        <v>jazz</v>
      </c>
      <c r="R839" t="s">
        <v>159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tr">
        <f t="shared" si="54"/>
        <v>theater</v>
      </c>
      <c r="Q840" t="str">
        <f t="shared" si="55"/>
        <v>plays</v>
      </c>
      <c r="R840" t="s">
        <v>33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tr">
        <f t="shared" si="54"/>
        <v>film &amp; video</v>
      </c>
      <c r="Q841" t="str">
        <f t="shared" si="55"/>
        <v>documentary</v>
      </c>
      <c r="R841" t="s">
        <v>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tr">
        <f t="shared" si="54"/>
        <v>theater</v>
      </c>
      <c r="Q842" t="str">
        <f t="shared" si="55"/>
        <v>plays</v>
      </c>
      <c r="R842" t="s">
        <v>33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tr">
        <f t="shared" si="54"/>
        <v>technology</v>
      </c>
      <c r="Q843" t="str">
        <f t="shared" si="55"/>
        <v>web</v>
      </c>
      <c r="R843" t="s">
        <v>28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tr">
        <f t="shared" si="54"/>
        <v>technology</v>
      </c>
      <c r="Q844" t="str">
        <f t="shared" si="55"/>
        <v>wearables</v>
      </c>
      <c r="R844" t="s">
        <v>65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tr">
        <f t="shared" si="54"/>
        <v>photography</v>
      </c>
      <c r="Q845" t="str">
        <f t="shared" si="55"/>
        <v>photography books</v>
      </c>
      <c r="R845" t="s">
        <v>122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tr">
        <f t="shared" si="54"/>
        <v>film &amp; video</v>
      </c>
      <c r="Q846" t="str">
        <f t="shared" si="55"/>
        <v>documentary</v>
      </c>
      <c r="R846" t="s">
        <v>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tr">
        <f t="shared" si="54"/>
        <v>technology</v>
      </c>
      <c r="Q847" t="str">
        <f t="shared" si="55"/>
        <v>web</v>
      </c>
      <c r="R847" t="s">
        <v>28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tr">
        <f t="shared" si="54"/>
        <v>technology</v>
      </c>
      <c r="Q848" t="str">
        <f t="shared" si="55"/>
        <v>web</v>
      </c>
      <c r="R848" t="s">
        <v>28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tr">
        <f t="shared" si="54"/>
        <v>food</v>
      </c>
      <c r="Q849" t="str">
        <f t="shared" si="55"/>
        <v>food trucks</v>
      </c>
      <c r="R849" t="s">
        <v>17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tr">
        <f t="shared" si="54"/>
        <v>film &amp; video</v>
      </c>
      <c r="Q850" t="str">
        <f t="shared" si="55"/>
        <v>drama</v>
      </c>
      <c r="R850" t="s">
        <v>53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tr">
        <f t="shared" si="54"/>
        <v>music</v>
      </c>
      <c r="Q851" t="str">
        <f t="shared" si="55"/>
        <v>indie rock</v>
      </c>
      <c r="R851" t="s">
        <v>60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tr">
        <f t="shared" si="54"/>
        <v>music</v>
      </c>
      <c r="Q852" t="str">
        <f t="shared" si="55"/>
        <v>rock</v>
      </c>
      <c r="R852" t="s">
        <v>23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tr">
        <f t="shared" si="54"/>
        <v>music</v>
      </c>
      <c r="Q853" t="str">
        <f t="shared" si="55"/>
        <v>electric music</v>
      </c>
      <c r="R853" t="s">
        <v>50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tr">
        <f t="shared" si="54"/>
        <v>games</v>
      </c>
      <c r="Q854" t="str">
        <f t="shared" si="55"/>
        <v>video games</v>
      </c>
      <c r="R854" t="s">
        <v>89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tr">
        <f t="shared" si="54"/>
        <v>music</v>
      </c>
      <c r="Q855" t="str">
        <f t="shared" si="55"/>
        <v>indie rock</v>
      </c>
      <c r="R855" t="s">
        <v>60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tr">
        <f t="shared" si="54"/>
        <v>publishing</v>
      </c>
      <c r="Q856" t="str">
        <f t="shared" si="55"/>
        <v>fiction</v>
      </c>
      <c r="R856" t="s">
        <v>119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tr">
        <f t="shared" si="54"/>
        <v>theater</v>
      </c>
      <c r="Q857" t="str">
        <f t="shared" si="55"/>
        <v>plays</v>
      </c>
      <c r="R857" t="s">
        <v>33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tr">
        <f t="shared" si="54"/>
        <v>food</v>
      </c>
      <c r="Q858" t="str">
        <f t="shared" si="55"/>
        <v>food trucks</v>
      </c>
      <c r="R858" t="s">
        <v>17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tr">
        <f t="shared" si="54"/>
        <v>film &amp; video</v>
      </c>
      <c r="Q859" t="str">
        <f t="shared" si="55"/>
        <v>shorts</v>
      </c>
      <c r="R859" t="s">
        <v>100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tr">
        <f t="shared" si="54"/>
        <v>food</v>
      </c>
      <c r="Q860" t="str">
        <f t="shared" si="55"/>
        <v>food trucks</v>
      </c>
      <c r="R860" t="s">
        <v>17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tr">
        <f t="shared" si="54"/>
        <v>theater</v>
      </c>
      <c r="Q861" t="str">
        <f t="shared" si="55"/>
        <v>plays</v>
      </c>
      <c r="R861" t="s">
        <v>33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tr">
        <f t="shared" si="54"/>
        <v>technology</v>
      </c>
      <c r="Q862" t="str">
        <f t="shared" si="55"/>
        <v>wearables</v>
      </c>
      <c r="R862" t="s">
        <v>65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tr">
        <f t="shared" si="54"/>
        <v>theater</v>
      </c>
      <c r="Q863" t="str">
        <f t="shared" si="55"/>
        <v>plays</v>
      </c>
      <c r="R863" t="s">
        <v>33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tr">
        <f t="shared" si="54"/>
        <v>theater</v>
      </c>
      <c r="Q864" t="str">
        <f t="shared" si="55"/>
        <v>plays</v>
      </c>
      <c r="R864" t="s">
        <v>33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tr">
        <f t="shared" si="54"/>
        <v>film &amp; video</v>
      </c>
      <c r="Q865" t="str">
        <f t="shared" si="55"/>
        <v>television</v>
      </c>
      <c r="R865" t="s">
        <v>269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tr">
        <f t="shared" si="54"/>
        <v>film &amp; video</v>
      </c>
      <c r="Q866" t="str">
        <f t="shared" si="55"/>
        <v>shorts</v>
      </c>
      <c r="R866" t="s">
        <v>100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tr">
        <f t="shared" si="54"/>
        <v>theater</v>
      </c>
      <c r="Q867" t="str">
        <f t="shared" si="55"/>
        <v>plays</v>
      </c>
      <c r="R867" t="s">
        <v>33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tr">
        <f t="shared" si="54"/>
        <v>photography</v>
      </c>
      <c r="Q868" t="str">
        <f t="shared" si="55"/>
        <v>photography books</v>
      </c>
      <c r="R868" t="s">
        <v>122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tr">
        <f t="shared" si="54"/>
        <v>food</v>
      </c>
      <c r="Q869" t="str">
        <f t="shared" si="55"/>
        <v>food trucks</v>
      </c>
      <c r="R869" t="s">
        <v>17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tr">
        <f t="shared" si="54"/>
        <v>theater</v>
      </c>
      <c r="Q870" t="str">
        <f t="shared" si="55"/>
        <v>plays</v>
      </c>
      <c r="R870" t="s">
        <v>33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tr">
        <f t="shared" si="54"/>
        <v>film &amp; video</v>
      </c>
      <c r="Q871" t="str">
        <f t="shared" si="55"/>
        <v>drama</v>
      </c>
      <c r="R871" t="s">
        <v>53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tr">
        <f t="shared" si="54"/>
        <v>theater</v>
      </c>
      <c r="Q872" t="str">
        <f t="shared" si="55"/>
        <v>plays</v>
      </c>
      <c r="R872" t="s">
        <v>33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tr">
        <f t="shared" si="54"/>
        <v>theater</v>
      </c>
      <c r="Q873" t="str">
        <f t="shared" si="55"/>
        <v>plays</v>
      </c>
      <c r="R873" t="s">
        <v>33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tr">
        <f t="shared" si="54"/>
        <v>film &amp; video</v>
      </c>
      <c r="Q874" t="str">
        <f t="shared" si="55"/>
        <v>science fiction</v>
      </c>
      <c r="R874" t="s">
        <v>474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tr">
        <f t="shared" si="54"/>
        <v>photography</v>
      </c>
      <c r="Q875" t="str">
        <f t="shared" si="55"/>
        <v>photography books</v>
      </c>
      <c r="R875" t="s">
        <v>122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tr">
        <f t="shared" si="54"/>
        <v>photography</v>
      </c>
      <c r="Q876" t="str">
        <f t="shared" si="55"/>
        <v>photography books</v>
      </c>
      <c r="R876" t="s">
        <v>122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tr">
        <f t="shared" si="54"/>
        <v>music</v>
      </c>
      <c r="Q877" t="str">
        <f t="shared" si="55"/>
        <v>rock</v>
      </c>
      <c r="R877" t="s">
        <v>23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tr">
        <f t="shared" si="54"/>
        <v>photography</v>
      </c>
      <c r="Q878" t="str">
        <f t="shared" si="55"/>
        <v>photography books</v>
      </c>
      <c r="R878" t="s">
        <v>122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tr">
        <f t="shared" si="54"/>
        <v>food</v>
      </c>
      <c r="Q879" t="str">
        <f t="shared" si="55"/>
        <v>food trucks</v>
      </c>
      <c r="R879" t="s">
        <v>17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tr">
        <f t="shared" si="54"/>
        <v>music</v>
      </c>
      <c r="Q880" t="str">
        <f t="shared" si="55"/>
        <v>metal</v>
      </c>
      <c r="R880" t="s">
        <v>148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tr">
        <f t="shared" si="54"/>
        <v>publishing</v>
      </c>
      <c r="Q881" t="str">
        <f t="shared" si="55"/>
        <v>nonfiction</v>
      </c>
      <c r="R881" t="s">
        <v>68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tr">
        <f t="shared" si="54"/>
        <v>music</v>
      </c>
      <c r="Q882" t="str">
        <f t="shared" si="55"/>
        <v>electric music</v>
      </c>
      <c r="R882" t="s">
        <v>50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tr">
        <f t="shared" si="54"/>
        <v>theater</v>
      </c>
      <c r="Q883" t="str">
        <f t="shared" si="55"/>
        <v>plays</v>
      </c>
      <c r="R883" t="s">
        <v>33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tr">
        <f t="shared" si="54"/>
        <v>theater</v>
      </c>
      <c r="Q884" t="str">
        <f t="shared" si="55"/>
        <v>plays</v>
      </c>
      <c r="R884" t="s">
        <v>33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tr">
        <f t="shared" si="54"/>
        <v>film &amp; video</v>
      </c>
      <c r="Q885" t="str">
        <f t="shared" si="55"/>
        <v>shorts</v>
      </c>
      <c r="R885" t="s">
        <v>100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tr">
        <f t="shared" si="54"/>
        <v>theater</v>
      </c>
      <c r="Q886" t="str">
        <f t="shared" si="55"/>
        <v>plays</v>
      </c>
      <c r="R886" t="s">
        <v>33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tr">
        <f t="shared" si="54"/>
        <v>theater</v>
      </c>
      <c r="Q887" t="str">
        <f t="shared" si="55"/>
        <v>plays</v>
      </c>
      <c r="R887" t="s">
        <v>33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tr">
        <f t="shared" si="54"/>
        <v>music</v>
      </c>
      <c r="Q888" t="str">
        <f t="shared" si="55"/>
        <v>indie rock</v>
      </c>
      <c r="R888" t="s">
        <v>60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tr">
        <f t="shared" si="54"/>
        <v>theater</v>
      </c>
      <c r="Q889" t="str">
        <f t="shared" si="55"/>
        <v>plays</v>
      </c>
      <c r="R889" t="s">
        <v>33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tr">
        <f t="shared" si="54"/>
        <v>theater</v>
      </c>
      <c r="Q890" t="str">
        <f t="shared" si="55"/>
        <v>plays</v>
      </c>
      <c r="R890" t="s">
        <v>33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tr">
        <f t="shared" si="54"/>
        <v>music</v>
      </c>
      <c r="Q891" t="str">
        <f t="shared" si="55"/>
        <v>electric music</v>
      </c>
      <c r="R891" t="s">
        <v>50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tr">
        <f t="shared" si="54"/>
        <v>music</v>
      </c>
      <c r="Q892" t="str">
        <f t="shared" si="55"/>
        <v>indie rock</v>
      </c>
      <c r="R892" t="s">
        <v>60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tr">
        <f t="shared" si="54"/>
        <v>film &amp; video</v>
      </c>
      <c r="Q893" t="str">
        <f t="shared" si="55"/>
        <v>documentary</v>
      </c>
      <c r="R893" t="s">
        <v>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tr">
        <f t="shared" si="54"/>
        <v>publishing</v>
      </c>
      <c r="Q894" t="str">
        <f t="shared" si="55"/>
        <v>translations</v>
      </c>
      <c r="R894" t="s">
        <v>206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tr">
        <f t="shared" si="54"/>
        <v>film &amp; video</v>
      </c>
      <c r="Q895" t="str">
        <f t="shared" si="55"/>
        <v>documentary</v>
      </c>
      <c r="R895" t="s">
        <v>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tr">
        <f t="shared" si="54"/>
        <v>film &amp; video</v>
      </c>
      <c r="Q896" t="str">
        <f t="shared" si="55"/>
        <v>television</v>
      </c>
      <c r="R896" t="s">
        <v>269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tr">
        <f t="shared" si="54"/>
        <v>theater</v>
      </c>
      <c r="Q897" t="str">
        <f t="shared" si="55"/>
        <v>plays</v>
      </c>
      <c r="R897" t="s">
        <v>33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tr">
        <f t="shared" si="54"/>
        <v>food</v>
      </c>
      <c r="Q898" t="str">
        <f t="shared" si="55"/>
        <v>food trucks</v>
      </c>
      <c r="R898" t="s">
        <v>17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E899/D899*100</f>
        <v>27.693181818181817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tr">
        <f t="shared" ref="P899:P962" si="58">_xlfn.TEXTBEFORE(R899,"/")</f>
        <v>theater</v>
      </c>
      <c r="Q899" t="str">
        <f t="shared" ref="Q899:Q962" si="59">_xlfn.TEXTAFTER(R899,"/")</f>
        <v>plays</v>
      </c>
      <c r="R899" t="s">
        <v>33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tr">
        <f t="shared" si="58"/>
        <v>film &amp; video</v>
      </c>
      <c r="Q900" t="str">
        <f t="shared" si="59"/>
        <v>documentary</v>
      </c>
      <c r="R900" t="s">
        <v>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tr">
        <f t="shared" si="58"/>
        <v>music</v>
      </c>
      <c r="Q901" t="str">
        <f t="shared" si="59"/>
        <v>jazz</v>
      </c>
      <c r="R901" t="s">
        <v>159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tr">
        <f t="shared" si="58"/>
        <v>technology</v>
      </c>
      <c r="Q902" t="str">
        <f t="shared" si="59"/>
        <v>web</v>
      </c>
      <c r="R902" t="s">
        <v>28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tr">
        <f t="shared" si="58"/>
        <v>music</v>
      </c>
      <c r="Q903" t="str">
        <f t="shared" si="59"/>
        <v>rock</v>
      </c>
      <c r="R903" t="s">
        <v>23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tr">
        <f t="shared" si="58"/>
        <v>technology</v>
      </c>
      <c r="Q904" t="str">
        <f t="shared" si="59"/>
        <v>web</v>
      </c>
      <c r="R904" t="s">
        <v>28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tr">
        <f t="shared" si="58"/>
        <v>publishing</v>
      </c>
      <c r="Q905" t="str">
        <f t="shared" si="59"/>
        <v>nonfiction</v>
      </c>
      <c r="R905" t="s">
        <v>68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tr">
        <f t="shared" si="58"/>
        <v>publishing</v>
      </c>
      <c r="Q906" t="str">
        <f t="shared" si="59"/>
        <v>radio &amp; podcasts</v>
      </c>
      <c r="R906" t="s">
        <v>133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tr">
        <f t="shared" si="58"/>
        <v>theater</v>
      </c>
      <c r="Q907" t="str">
        <f t="shared" si="59"/>
        <v>plays</v>
      </c>
      <c r="R907" t="s">
        <v>33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tr">
        <f t="shared" si="58"/>
        <v>film &amp; video</v>
      </c>
      <c r="Q908" t="str">
        <f t="shared" si="59"/>
        <v>documentary</v>
      </c>
      <c r="R908" t="s">
        <v>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tr">
        <f t="shared" si="58"/>
        <v>theater</v>
      </c>
      <c r="Q909" t="str">
        <f t="shared" si="59"/>
        <v>plays</v>
      </c>
      <c r="R909" t="s">
        <v>33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tr">
        <f t="shared" si="58"/>
        <v>games</v>
      </c>
      <c r="Q910" t="str">
        <f t="shared" si="59"/>
        <v>video games</v>
      </c>
      <c r="R910" t="s">
        <v>89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tr">
        <f t="shared" si="58"/>
        <v>theater</v>
      </c>
      <c r="Q911" t="str">
        <f t="shared" si="59"/>
        <v>plays</v>
      </c>
      <c r="R911" t="s">
        <v>33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tr">
        <f t="shared" si="58"/>
        <v>theater</v>
      </c>
      <c r="Q912" t="str">
        <f t="shared" si="59"/>
        <v>plays</v>
      </c>
      <c r="R912" t="s">
        <v>33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tr">
        <f t="shared" si="58"/>
        <v>technology</v>
      </c>
      <c r="Q913" t="str">
        <f t="shared" si="59"/>
        <v>web</v>
      </c>
      <c r="R913" t="s">
        <v>28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tr">
        <f t="shared" si="58"/>
        <v>film &amp; video</v>
      </c>
      <c r="Q914" t="str">
        <f t="shared" si="59"/>
        <v>drama</v>
      </c>
      <c r="R914" t="s">
        <v>53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tr">
        <f t="shared" si="58"/>
        <v>film &amp; video</v>
      </c>
      <c r="Q915" t="str">
        <f t="shared" si="59"/>
        <v>drama</v>
      </c>
      <c r="R915" t="s">
        <v>53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tr">
        <f t="shared" si="58"/>
        <v>theater</v>
      </c>
      <c r="Q916" t="str">
        <f t="shared" si="59"/>
        <v>plays</v>
      </c>
      <c r="R916" t="s">
        <v>33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tr">
        <f t="shared" si="58"/>
        <v>film &amp; video</v>
      </c>
      <c r="Q917" t="str">
        <f t="shared" si="59"/>
        <v>television</v>
      </c>
      <c r="R917" t="s">
        <v>269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tr">
        <f t="shared" si="58"/>
        <v>photography</v>
      </c>
      <c r="Q918" t="str">
        <f t="shared" si="59"/>
        <v>photography books</v>
      </c>
      <c r="R918" t="s">
        <v>122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tr">
        <f t="shared" si="58"/>
        <v>film &amp; video</v>
      </c>
      <c r="Q919" t="str">
        <f t="shared" si="59"/>
        <v>shorts</v>
      </c>
      <c r="R919" t="s">
        <v>100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tr">
        <f t="shared" si="58"/>
        <v>publishing</v>
      </c>
      <c r="Q920" t="str">
        <f t="shared" si="59"/>
        <v>radio &amp; podcasts</v>
      </c>
      <c r="R920" t="s">
        <v>133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tr">
        <f t="shared" si="58"/>
        <v>theater</v>
      </c>
      <c r="Q921" t="str">
        <f t="shared" si="59"/>
        <v>plays</v>
      </c>
      <c r="R921" t="s">
        <v>33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tr">
        <f t="shared" si="58"/>
        <v>film &amp; video</v>
      </c>
      <c r="Q922" t="str">
        <f t="shared" si="59"/>
        <v>animation</v>
      </c>
      <c r="R922" t="s">
        <v>71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tr">
        <f t="shared" si="58"/>
        <v>technology</v>
      </c>
      <c r="Q923" t="str">
        <f t="shared" si="59"/>
        <v>web</v>
      </c>
      <c r="R923" t="s">
        <v>28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tr">
        <f t="shared" si="58"/>
        <v>music</v>
      </c>
      <c r="Q924" t="str">
        <f t="shared" si="59"/>
        <v>world music</v>
      </c>
      <c r="R924" t="s">
        <v>319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tr">
        <f t="shared" si="58"/>
        <v>theater</v>
      </c>
      <c r="Q925" t="str">
        <f t="shared" si="59"/>
        <v>plays</v>
      </c>
      <c r="R925" t="s">
        <v>33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tr">
        <f t="shared" si="58"/>
        <v>theater</v>
      </c>
      <c r="Q926" t="str">
        <f t="shared" si="59"/>
        <v>plays</v>
      </c>
      <c r="R926" t="s">
        <v>33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tr">
        <f t="shared" si="58"/>
        <v>theater</v>
      </c>
      <c r="Q927" t="str">
        <f t="shared" si="59"/>
        <v>plays</v>
      </c>
      <c r="R927" t="s">
        <v>33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tr">
        <f t="shared" si="58"/>
        <v>food</v>
      </c>
      <c r="Q928" t="str">
        <f t="shared" si="59"/>
        <v>food trucks</v>
      </c>
      <c r="R928" t="s">
        <v>17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tr">
        <f t="shared" si="58"/>
        <v>theater</v>
      </c>
      <c r="Q929" t="str">
        <f t="shared" si="59"/>
        <v>plays</v>
      </c>
      <c r="R929" t="s">
        <v>33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tr">
        <f t="shared" si="58"/>
        <v>technology</v>
      </c>
      <c r="Q930" t="str">
        <f t="shared" si="59"/>
        <v>web</v>
      </c>
      <c r="R930" t="s">
        <v>28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tr">
        <f t="shared" si="58"/>
        <v>theater</v>
      </c>
      <c r="Q931" t="str">
        <f t="shared" si="59"/>
        <v>plays</v>
      </c>
      <c r="R931" t="s">
        <v>33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tr">
        <f t="shared" si="58"/>
        <v>theater</v>
      </c>
      <c r="Q932" t="str">
        <f t="shared" si="59"/>
        <v>plays</v>
      </c>
      <c r="R932" t="s">
        <v>33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tr">
        <f t="shared" si="58"/>
        <v>theater</v>
      </c>
      <c r="Q933" t="str">
        <f t="shared" si="59"/>
        <v>plays</v>
      </c>
      <c r="R933" t="s">
        <v>33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tr">
        <f t="shared" si="58"/>
        <v>music</v>
      </c>
      <c r="Q934" t="str">
        <f t="shared" si="59"/>
        <v>rock</v>
      </c>
      <c r="R934" t="s">
        <v>23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tr">
        <f t="shared" si="58"/>
        <v>theater</v>
      </c>
      <c r="Q935" t="str">
        <f t="shared" si="59"/>
        <v>plays</v>
      </c>
      <c r="R935" t="s">
        <v>33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tr">
        <f t="shared" si="58"/>
        <v>theater</v>
      </c>
      <c r="Q936" t="str">
        <f t="shared" si="59"/>
        <v>plays</v>
      </c>
      <c r="R936" t="s">
        <v>33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tr">
        <f t="shared" si="58"/>
        <v>theater</v>
      </c>
      <c r="Q937" t="str">
        <f t="shared" si="59"/>
        <v>plays</v>
      </c>
      <c r="R937" t="s">
        <v>33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tr">
        <f t="shared" si="58"/>
        <v>theater</v>
      </c>
      <c r="Q938" t="str">
        <f t="shared" si="59"/>
        <v>plays</v>
      </c>
      <c r="R938" t="s">
        <v>33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tr">
        <f t="shared" si="58"/>
        <v>film &amp; video</v>
      </c>
      <c r="Q939" t="str">
        <f t="shared" si="59"/>
        <v>documentary</v>
      </c>
      <c r="R939" t="s">
        <v>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tr">
        <f t="shared" si="58"/>
        <v>publishing</v>
      </c>
      <c r="Q940" t="str">
        <f t="shared" si="59"/>
        <v>fiction</v>
      </c>
      <c r="R940" t="s">
        <v>119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tr">
        <f t="shared" si="58"/>
        <v>games</v>
      </c>
      <c r="Q941" t="str">
        <f t="shared" si="59"/>
        <v>video games</v>
      </c>
      <c r="R941" t="s">
        <v>89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tr">
        <f t="shared" si="58"/>
        <v>technology</v>
      </c>
      <c r="Q942" t="str">
        <f t="shared" si="59"/>
        <v>web</v>
      </c>
      <c r="R942" t="s">
        <v>28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tr">
        <f t="shared" si="58"/>
        <v>theater</v>
      </c>
      <c r="Q943" t="str">
        <f t="shared" si="59"/>
        <v>plays</v>
      </c>
      <c r="R943" t="s">
        <v>33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tr">
        <f t="shared" si="58"/>
        <v>theater</v>
      </c>
      <c r="Q944" t="str">
        <f t="shared" si="59"/>
        <v>plays</v>
      </c>
      <c r="R944" t="s">
        <v>33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tr">
        <f t="shared" si="58"/>
        <v>food</v>
      </c>
      <c r="Q945" t="str">
        <f t="shared" si="59"/>
        <v>food trucks</v>
      </c>
      <c r="R945" t="s">
        <v>17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tr">
        <f t="shared" si="58"/>
        <v>photography</v>
      </c>
      <c r="Q946" t="str">
        <f t="shared" si="59"/>
        <v>photography books</v>
      </c>
      <c r="R946" t="s">
        <v>122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tr">
        <f t="shared" si="58"/>
        <v>photography</v>
      </c>
      <c r="Q947" t="str">
        <f t="shared" si="59"/>
        <v>photography books</v>
      </c>
      <c r="R947" t="s">
        <v>122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tr">
        <f t="shared" si="58"/>
        <v>theater</v>
      </c>
      <c r="Q948" t="str">
        <f t="shared" si="59"/>
        <v>plays</v>
      </c>
      <c r="R948" t="s">
        <v>33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tr">
        <f t="shared" si="58"/>
        <v>theater</v>
      </c>
      <c r="Q949" t="str">
        <f t="shared" si="59"/>
        <v>plays</v>
      </c>
      <c r="R949" t="s">
        <v>33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tr">
        <f t="shared" si="58"/>
        <v>film &amp; video</v>
      </c>
      <c r="Q950" t="str">
        <f t="shared" si="59"/>
        <v>documentary</v>
      </c>
      <c r="R950" t="s">
        <v>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tr">
        <f t="shared" si="58"/>
        <v>technology</v>
      </c>
      <c r="Q951" t="str">
        <f t="shared" si="59"/>
        <v>web</v>
      </c>
      <c r="R951" t="s">
        <v>28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tr">
        <f t="shared" si="58"/>
        <v>theater</v>
      </c>
      <c r="Q952" t="str">
        <f t="shared" si="59"/>
        <v>plays</v>
      </c>
      <c r="R952" t="s">
        <v>33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tr">
        <f t="shared" si="58"/>
        <v>music</v>
      </c>
      <c r="Q953" t="str">
        <f t="shared" si="59"/>
        <v>rock</v>
      </c>
      <c r="R953" t="s">
        <v>23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tr">
        <f t="shared" si="58"/>
        <v>film &amp; video</v>
      </c>
      <c r="Q954" t="str">
        <f t="shared" si="59"/>
        <v>documentary</v>
      </c>
      <c r="R954" t="s">
        <v>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tr">
        <f t="shared" si="58"/>
        <v>film &amp; video</v>
      </c>
      <c r="Q955" t="str">
        <f t="shared" si="59"/>
        <v>science fiction</v>
      </c>
      <c r="R955" t="s">
        <v>474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tr">
        <f t="shared" si="58"/>
        <v>technology</v>
      </c>
      <c r="Q956" t="str">
        <f t="shared" si="59"/>
        <v>web</v>
      </c>
      <c r="R956" t="s">
        <v>28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tr">
        <f t="shared" si="58"/>
        <v>theater</v>
      </c>
      <c r="Q957" t="str">
        <f t="shared" si="59"/>
        <v>plays</v>
      </c>
      <c r="R957" t="s">
        <v>33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tr">
        <f t="shared" si="58"/>
        <v>film &amp; video</v>
      </c>
      <c r="Q958" t="str">
        <f t="shared" si="59"/>
        <v>science fiction</v>
      </c>
      <c r="R958" t="s">
        <v>474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tr">
        <f t="shared" si="58"/>
        <v>theater</v>
      </c>
      <c r="Q959" t="str">
        <f t="shared" si="59"/>
        <v>plays</v>
      </c>
      <c r="R959" t="s">
        <v>33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tr">
        <f t="shared" si="58"/>
        <v>film &amp; video</v>
      </c>
      <c r="Q960" t="str">
        <f t="shared" si="59"/>
        <v>animation</v>
      </c>
      <c r="R960" t="s">
        <v>71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tr">
        <f t="shared" si="58"/>
        <v>publishing</v>
      </c>
      <c r="Q961" t="str">
        <f t="shared" si="59"/>
        <v>translations</v>
      </c>
      <c r="R961" t="s">
        <v>206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tr">
        <f t="shared" si="58"/>
        <v>technology</v>
      </c>
      <c r="Q962" t="str">
        <f t="shared" si="59"/>
        <v>web</v>
      </c>
      <c r="R962" t="s">
        <v>28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E963/D963*100</f>
        <v>119.29824561403508</v>
      </c>
      <c r="G963" t="s">
        <v>20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tr">
        <f t="shared" ref="P963:P1001" si="62">_xlfn.TEXTBEFORE(R963,"/")</f>
        <v>publishing</v>
      </c>
      <c r="Q963" t="str">
        <f t="shared" ref="Q963:Q1001" si="63">_xlfn.TEXTAFTER(R963,"/")</f>
        <v>translations</v>
      </c>
      <c r="R963" t="s">
        <v>206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tr">
        <f t="shared" si="62"/>
        <v>food</v>
      </c>
      <c r="Q964" t="str">
        <f t="shared" si="63"/>
        <v>food trucks</v>
      </c>
      <c r="R964" t="s">
        <v>17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tr">
        <f t="shared" si="62"/>
        <v>photography</v>
      </c>
      <c r="Q965" t="str">
        <f t="shared" si="63"/>
        <v>photography books</v>
      </c>
      <c r="R965" t="s">
        <v>122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tr">
        <f t="shared" si="62"/>
        <v>theater</v>
      </c>
      <c r="Q966" t="str">
        <f t="shared" si="63"/>
        <v>plays</v>
      </c>
      <c r="R966" t="s">
        <v>33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tr">
        <f t="shared" si="62"/>
        <v>music</v>
      </c>
      <c r="Q967" t="str">
        <f t="shared" si="63"/>
        <v>rock</v>
      </c>
      <c r="R967" t="s">
        <v>23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tr">
        <f t="shared" si="62"/>
        <v>theater</v>
      </c>
      <c r="Q968" t="str">
        <f t="shared" si="63"/>
        <v>plays</v>
      </c>
      <c r="R968" t="s">
        <v>33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tr">
        <f t="shared" si="62"/>
        <v>music</v>
      </c>
      <c r="Q969" t="str">
        <f t="shared" si="63"/>
        <v>world music</v>
      </c>
      <c r="R969" t="s">
        <v>319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tr">
        <f t="shared" si="62"/>
        <v>food</v>
      </c>
      <c r="Q970" t="str">
        <f t="shared" si="63"/>
        <v>food trucks</v>
      </c>
      <c r="R970" t="s">
        <v>17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tr">
        <f t="shared" si="62"/>
        <v>theater</v>
      </c>
      <c r="Q971" t="str">
        <f t="shared" si="63"/>
        <v>plays</v>
      </c>
      <c r="R971" t="s">
        <v>33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tr">
        <f t="shared" si="62"/>
        <v>theater</v>
      </c>
      <c r="Q972" t="str">
        <f t="shared" si="63"/>
        <v>plays</v>
      </c>
      <c r="R972" t="s">
        <v>33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tr">
        <f t="shared" si="62"/>
        <v>film &amp; video</v>
      </c>
      <c r="Q973" t="str">
        <f t="shared" si="63"/>
        <v>television</v>
      </c>
      <c r="R973" t="s">
        <v>269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tr">
        <f t="shared" si="62"/>
        <v>technology</v>
      </c>
      <c r="Q974" t="str">
        <f t="shared" si="63"/>
        <v>web</v>
      </c>
      <c r="R974" t="s">
        <v>28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tr">
        <f t="shared" si="62"/>
        <v>theater</v>
      </c>
      <c r="Q975" t="str">
        <f t="shared" si="63"/>
        <v>plays</v>
      </c>
      <c r="R975" t="s">
        <v>33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tr">
        <f t="shared" si="62"/>
        <v>music</v>
      </c>
      <c r="Q976" t="str">
        <f t="shared" si="63"/>
        <v>indie rock</v>
      </c>
      <c r="R976" t="s">
        <v>60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tr">
        <f t="shared" si="62"/>
        <v>theater</v>
      </c>
      <c r="Q977" t="str">
        <f t="shared" si="63"/>
        <v>plays</v>
      </c>
      <c r="R977" t="s">
        <v>33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tr">
        <f t="shared" si="62"/>
        <v>theater</v>
      </c>
      <c r="Q978" t="str">
        <f t="shared" si="63"/>
        <v>plays</v>
      </c>
      <c r="R978" t="s">
        <v>33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tr">
        <f t="shared" si="62"/>
        <v>food</v>
      </c>
      <c r="Q979" t="str">
        <f t="shared" si="63"/>
        <v>food trucks</v>
      </c>
      <c r="R979" t="s">
        <v>17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tr">
        <f t="shared" si="62"/>
        <v>games</v>
      </c>
      <c r="Q980" t="str">
        <f t="shared" si="63"/>
        <v>video games</v>
      </c>
      <c r="R980" t="s">
        <v>89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tr">
        <f t="shared" si="62"/>
        <v>theater</v>
      </c>
      <c r="Q981" t="str">
        <f t="shared" si="63"/>
        <v>plays</v>
      </c>
      <c r="R981" t="s">
        <v>33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tr">
        <f t="shared" si="62"/>
        <v>publishing</v>
      </c>
      <c r="Q982" t="str">
        <f t="shared" si="63"/>
        <v>nonfiction</v>
      </c>
      <c r="R982" t="s">
        <v>68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tr">
        <f t="shared" si="62"/>
        <v>technology</v>
      </c>
      <c r="Q983" t="str">
        <f t="shared" si="63"/>
        <v>web</v>
      </c>
      <c r="R983" t="s">
        <v>28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tr">
        <f t="shared" si="62"/>
        <v>film &amp; video</v>
      </c>
      <c r="Q984" t="str">
        <f t="shared" si="63"/>
        <v>documentary</v>
      </c>
      <c r="R984" t="s">
        <v>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tr">
        <f t="shared" si="62"/>
        <v>film &amp; video</v>
      </c>
      <c r="Q985" t="str">
        <f t="shared" si="63"/>
        <v>documentary</v>
      </c>
      <c r="R985" t="s">
        <v>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tr">
        <f t="shared" si="62"/>
        <v>theater</v>
      </c>
      <c r="Q986" t="str">
        <f t="shared" si="63"/>
        <v>plays</v>
      </c>
      <c r="R986" t="s">
        <v>33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tr">
        <f t="shared" si="62"/>
        <v>music</v>
      </c>
      <c r="Q987" t="str">
        <f t="shared" si="63"/>
        <v>rock</v>
      </c>
      <c r="R987" t="s">
        <v>23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tr">
        <f t="shared" si="62"/>
        <v>music</v>
      </c>
      <c r="Q988" t="str">
        <f t="shared" si="63"/>
        <v>rock</v>
      </c>
      <c r="R988" t="s">
        <v>23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tr">
        <f t="shared" si="62"/>
        <v>film &amp; video</v>
      </c>
      <c r="Q989" t="str">
        <f t="shared" si="63"/>
        <v>documentary</v>
      </c>
      <c r="R989" t="s">
        <v>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tr">
        <f t="shared" si="62"/>
        <v>publishing</v>
      </c>
      <c r="Q990" t="str">
        <f t="shared" si="63"/>
        <v>radio &amp; podcasts</v>
      </c>
      <c r="R990" t="s">
        <v>133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tr">
        <f t="shared" si="62"/>
        <v>publishing</v>
      </c>
      <c r="Q991" t="str">
        <f t="shared" si="63"/>
        <v>translations</v>
      </c>
      <c r="R991" t="s">
        <v>206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tr">
        <f t="shared" si="62"/>
        <v>film &amp; video</v>
      </c>
      <c r="Q992" t="str">
        <f t="shared" si="63"/>
        <v>drama</v>
      </c>
      <c r="R992" t="s">
        <v>53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tr">
        <f t="shared" si="62"/>
        <v>music</v>
      </c>
      <c r="Q993" t="str">
        <f t="shared" si="63"/>
        <v>rock</v>
      </c>
      <c r="R993" t="s">
        <v>23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tr">
        <f t="shared" si="62"/>
        <v>film &amp; video</v>
      </c>
      <c r="Q994" t="str">
        <f t="shared" si="63"/>
        <v>drama</v>
      </c>
      <c r="R994" t="s">
        <v>53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tr">
        <f t="shared" si="62"/>
        <v>photography</v>
      </c>
      <c r="Q995" t="str">
        <f t="shared" si="63"/>
        <v>photography books</v>
      </c>
      <c r="R995" t="s">
        <v>122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tr">
        <f t="shared" si="62"/>
        <v>publishing</v>
      </c>
      <c r="Q996" t="str">
        <f t="shared" si="63"/>
        <v>translations</v>
      </c>
      <c r="R996" t="s">
        <v>206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tr">
        <f t="shared" si="62"/>
        <v>food</v>
      </c>
      <c r="Q997" t="str">
        <f t="shared" si="63"/>
        <v>food trucks</v>
      </c>
      <c r="R997" t="s">
        <v>17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tr">
        <f t="shared" si="62"/>
        <v>theater</v>
      </c>
      <c r="Q998" t="str">
        <f t="shared" si="63"/>
        <v>plays</v>
      </c>
      <c r="R998" t="s">
        <v>33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tr">
        <f t="shared" si="62"/>
        <v>theater</v>
      </c>
      <c r="Q999" t="str">
        <f t="shared" si="63"/>
        <v>plays</v>
      </c>
      <c r="R999" t="s">
        <v>33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tr">
        <f t="shared" si="62"/>
        <v>music</v>
      </c>
      <c r="Q1000" t="str">
        <f t="shared" si="63"/>
        <v>indie rock</v>
      </c>
      <c r="R1000" t="s">
        <v>60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tr">
        <f t="shared" si="62"/>
        <v>food</v>
      </c>
      <c r="Q1001" t="str">
        <f t="shared" si="63"/>
        <v>food trucks</v>
      </c>
      <c r="R1001" t="s">
        <v>17</v>
      </c>
    </row>
  </sheetData>
  <conditionalFormatting sqref="F2:F1002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2:G1001">
    <cfRule type="containsText" dxfId="3" priority="2" operator="containsText" text="live">
      <formula>NOT(ISERROR(SEARCH("live",G2)))</formula>
    </cfRule>
    <cfRule type="containsText" dxfId="2" priority="3" operator="containsText" text="canceled">
      <formula>NOT(ISERROR(SEARCH("canceled",G2)))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Edward Vaughan</cp:lastModifiedBy>
  <dcterms:created xsi:type="dcterms:W3CDTF">2021-09-29T18:52:28Z</dcterms:created>
  <dcterms:modified xsi:type="dcterms:W3CDTF">2025-01-08T03:29:18Z</dcterms:modified>
</cp:coreProperties>
</file>