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6e15620da111e89/Documents/M.S. Courses/Finance/FIN 518 Managerial/"/>
    </mc:Choice>
  </mc:AlternateContent>
  <xr:revisionPtr revIDLastSave="302" documentId="11_F25DC773A252ABDACC104869499F78865BDE58EE" xr6:coauthVersionLast="47" xr6:coauthVersionMax="47" xr10:uidLastSave="{8ADE0BD9-5E79-4B8B-8BD9-18600384578D}"/>
  <bookViews>
    <workbookView xWindow="25965" yWindow="4815" windowWidth="38595" windowHeight="15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E69" i="1"/>
  <c r="F69" i="1"/>
  <c r="G69" i="1"/>
  <c r="H69" i="1"/>
  <c r="I69" i="1"/>
  <c r="J69" i="1"/>
  <c r="K69" i="1"/>
  <c r="C69" i="1"/>
  <c r="B70" i="1" a="1"/>
  <c r="B70" i="1" s="1"/>
  <c r="B69" i="1" a="1"/>
  <c r="B69" i="1" s="1"/>
  <c r="B46" i="1"/>
  <c r="B68" i="1"/>
  <c r="B74" i="1"/>
  <c r="B73" i="1"/>
  <c r="B72" i="1"/>
  <c r="B71" i="1"/>
  <c r="B48" i="1"/>
  <c r="B47" i="1"/>
  <c r="B45" i="1"/>
  <c r="K51" i="1"/>
  <c r="D51" i="1"/>
  <c r="E51" i="1"/>
  <c r="F51" i="1"/>
  <c r="G51" i="1"/>
  <c r="H51" i="1"/>
  <c r="I51" i="1"/>
  <c r="J51" i="1"/>
  <c r="C51" i="1"/>
  <c r="B44" i="1"/>
  <c r="B50" i="1" s="1"/>
  <c r="D52" i="1" s="1"/>
  <c r="C30" i="1"/>
  <c r="D30" i="1" s="1"/>
  <c r="F30" i="1" s="1"/>
  <c r="B25" i="1"/>
  <c r="B26" i="1"/>
  <c r="B27" i="1"/>
  <c r="B28" i="1"/>
  <c r="B29" i="1"/>
  <c r="B32" i="1"/>
  <c r="B31" i="1"/>
  <c r="B30" i="1"/>
  <c r="C15" i="1"/>
  <c r="C16" i="1"/>
  <c r="C17" i="1"/>
  <c r="C14" i="1"/>
  <c r="C19" i="1" s="1"/>
  <c r="C20" i="1" s="1"/>
  <c r="B15" i="1"/>
  <c r="B10" i="1"/>
  <c r="C10" i="1"/>
  <c r="J9" i="1"/>
  <c r="J8" i="1"/>
  <c r="C3" i="1"/>
  <c r="B75" i="1" l="1"/>
  <c r="B76" i="1" s="1"/>
  <c r="C52" i="1"/>
  <c r="K52" i="1"/>
  <c r="J52" i="1"/>
  <c r="I52" i="1"/>
  <c r="H52" i="1"/>
  <c r="G52" i="1"/>
  <c r="F52" i="1"/>
  <c r="E52" i="1"/>
  <c r="B16" i="1"/>
  <c r="B17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<sst xmlns="http://schemas.openxmlformats.org/spreadsheetml/2006/main" count="88" uniqueCount="61">
  <si>
    <t>Question 4</t>
  </si>
  <si>
    <t>Value of home</t>
  </si>
  <si>
    <t>Cost of Sale</t>
  </si>
  <si>
    <t>Difference</t>
  </si>
  <si>
    <t>Question 5</t>
  </si>
  <si>
    <t>Class A Spa Sales</t>
  </si>
  <si>
    <t>Deluxe Models</t>
  </si>
  <si>
    <t>Year</t>
  </si>
  <si>
    <t>Class C Spa Sales</t>
  </si>
  <si>
    <t>Mid-Class</t>
  </si>
  <si>
    <t>Class A price</t>
  </si>
  <si>
    <t>Class C price</t>
  </si>
  <si>
    <t>Deluxe price</t>
  </si>
  <si>
    <t>Total Revenue</t>
  </si>
  <si>
    <t>Option</t>
  </si>
  <si>
    <t>Question 6</t>
  </si>
  <si>
    <t>Asset Cost</t>
  </si>
  <si>
    <t>Depreciation Perc.</t>
  </si>
  <si>
    <t>Book Value</t>
  </si>
  <si>
    <t>Question 7</t>
  </si>
  <si>
    <t>Rate</t>
  </si>
  <si>
    <t>Tax due on Sale</t>
  </si>
  <si>
    <t>Salvage Tax Value</t>
  </si>
  <si>
    <t>Sale Price</t>
  </si>
  <si>
    <t>Question 8</t>
  </si>
  <si>
    <t>Initial Fixed Assets</t>
  </si>
  <si>
    <t>Depreciation Life</t>
  </si>
  <si>
    <t>Salvage Value</t>
  </si>
  <si>
    <t>Annual Cost Savings</t>
  </si>
  <si>
    <t>Tax Rate</t>
  </si>
  <si>
    <t>Discount Rate</t>
  </si>
  <si>
    <t>NWC</t>
  </si>
  <si>
    <t>Annual Depreciation</t>
  </si>
  <si>
    <t>OCF</t>
  </si>
  <si>
    <t>Discount Factor</t>
  </si>
  <si>
    <t>Discounted OCF</t>
  </si>
  <si>
    <t>Tax Effect on Sale</t>
  </si>
  <si>
    <t>Year 9 CF W/o OCF</t>
  </si>
  <si>
    <t>Discounted 9 CF</t>
  </si>
  <si>
    <t>NPV</t>
  </si>
  <si>
    <t>Question 9</t>
  </si>
  <si>
    <t>Interest Rate</t>
  </si>
  <si>
    <t>Initial Down Payment</t>
  </si>
  <si>
    <t>Annual Payment (EOY1-EOY4)</t>
  </si>
  <si>
    <t>Insurance (Initial)</t>
  </si>
  <si>
    <t>Insurance Growth Rate</t>
  </si>
  <si>
    <t>Fuel &amp; maint.</t>
  </si>
  <si>
    <t>Fuel &amp; maint. Growth Rate</t>
  </si>
  <si>
    <t>Part Replace (EOY4)</t>
  </si>
  <si>
    <t>Part Replace (EOY8)</t>
  </si>
  <si>
    <t>Major Maint. (EOY5)</t>
  </si>
  <si>
    <t>Salvage Value (EOY9)</t>
  </si>
  <si>
    <t>PV of Annual Paym. (EOY1-4)</t>
  </si>
  <si>
    <t>PV of Insurance (8% growth)</t>
  </si>
  <si>
    <t>PV of Fuel &amp; maint. (10% growth)</t>
  </si>
  <si>
    <t>PV of Part replace (EOY4)</t>
  </si>
  <si>
    <t>PV of Part replace (EOY8)</t>
  </si>
  <si>
    <t>PV of Major Maint. (EOY5)</t>
  </si>
  <si>
    <t>PV of Salvage Value (EOY9)</t>
  </si>
  <si>
    <t>Total PV</t>
  </si>
  <si>
    <t>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</si>
</sst>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10" fontId="0" fillId="0" borderId="0" xfId="0" applyNumberFormat="1"/>
    <xf numFmtId="9" fontId="0" fillId="0" borderId="0" xfId="2" applyFont="1"/>
    <xf numFmtId="44" fontId="0" fillId="2" borderId="0" xfId="0" applyNumberFormat="1" applyFill="1"/>
    <xf numFmtId="9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50" workbookViewId="0">
      <selection activeCell="K73" sqref="K73"/>
    </sheetView>
  </sheetViews>
  <sheetFormatPr defaultRowHeight="15" x14ac:dyDescent="0.25"/>
  <cols>
    <col min="1" max="1" width="30.85546875" bestFit="1" customWidth="1"/>
    <col min="2" max="2" width="48.5703125" bestFit="1" customWidth="1"/>
    <col min="3" max="3" width="21.42578125" bestFit="1" customWidth="1"/>
    <col min="4" max="4" width="14.85546875" bestFit="1" customWidth="1"/>
    <col min="5" max="5" width="12.5703125" bestFit="1" customWidth="1"/>
    <col min="6" max="6" width="17.5703125" bestFit="1" customWidth="1"/>
    <col min="7" max="9" width="12.5703125" bestFit="1" customWidth="1"/>
    <col min="10" max="10" width="15.28515625" bestFit="1" customWidth="1"/>
    <col min="11" max="11" width="14.2851562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  <c r="B2" t="s">
        <v>2</v>
      </c>
      <c r="C2" t="s">
        <v>3</v>
      </c>
    </row>
    <row r="3" spans="1:11" x14ac:dyDescent="0.25">
      <c r="A3" s="2">
        <v>246000</v>
      </c>
      <c r="B3" s="2">
        <v>19680</v>
      </c>
      <c r="C3" s="3">
        <f>A3-B3</f>
        <v>226320</v>
      </c>
    </row>
    <row r="6" spans="1:11" x14ac:dyDescent="0.25">
      <c r="A6" s="1" t="s">
        <v>4</v>
      </c>
    </row>
    <row r="7" spans="1:11" x14ac:dyDescent="0.25">
      <c r="A7" t="s">
        <v>14</v>
      </c>
      <c r="B7" t="s">
        <v>5</v>
      </c>
      <c r="C7" t="s">
        <v>8</v>
      </c>
      <c r="D7" t="s">
        <v>6</v>
      </c>
      <c r="E7" t="s">
        <v>9</v>
      </c>
      <c r="F7" t="s">
        <v>10</v>
      </c>
      <c r="G7" t="s">
        <v>11</v>
      </c>
      <c r="H7" t="s">
        <v>12</v>
      </c>
      <c r="I7" t="s">
        <v>9</v>
      </c>
      <c r="J7" t="s">
        <v>13</v>
      </c>
      <c r="K7" t="s">
        <v>3</v>
      </c>
    </row>
    <row r="8" spans="1:11" x14ac:dyDescent="0.25">
      <c r="A8">
        <v>0</v>
      </c>
      <c r="B8">
        <v>400</v>
      </c>
      <c r="C8">
        <v>550</v>
      </c>
      <c r="D8">
        <v>300</v>
      </c>
      <c r="F8" s="2">
        <v>13900</v>
      </c>
      <c r="G8" s="2">
        <v>7000</v>
      </c>
      <c r="H8" s="2">
        <v>18000</v>
      </c>
      <c r="I8" s="2">
        <v>9000</v>
      </c>
      <c r="J8" s="3">
        <f>(B8*F8)+(C8*G8)+(D8*H8)+(E8*I8)</f>
        <v>14810000</v>
      </c>
    </row>
    <row r="9" spans="1:11" x14ac:dyDescent="0.25">
      <c r="A9">
        <v>1</v>
      </c>
      <c r="B9">
        <v>275</v>
      </c>
      <c r="C9">
        <v>575</v>
      </c>
      <c r="D9">
        <v>300</v>
      </c>
      <c r="E9">
        <v>475</v>
      </c>
      <c r="F9" s="2">
        <v>13900</v>
      </c>
      <c r="G9" s="2">
        <v>7000</v>
      </c>
      <c r="H9" s="2">
        <v>18000</v>
      </c>
      <c r="I9" s="2">
        <v>9000</v>
      </c>
      <c r="J9" s="3">
        <f>(B9*F9)+(C9*G9)+(D9*H9)+(E9*I9)</f>
        <v>17522500</v>
      </c>
      <c r="K9" s="3">
        <f>J9-J8</f>
        <v>2712500</v>
      </c>
    </row>
    <row r="10" spans="1:11" x14ac:dyDescent="0.25">
      <c r="B10" s="3">
        <f>(B8-B9)*-F9</f>
        <v>-1737500</v>
      </c>
      <c r="C10" s="3">
        <f>(C8-C9)*-G9</f>
        <v>175000</v>
      </c>
    </row>
    <row r="12" spans="1:11" x14ac:dyDescent="0.25">
      <c r="A12" s="1" t="s">
        <v>15</v>
      </c>
    </row>
    <row r="13" spans="1:11" x14ac:dyDescent="0.25">
      <c r="A13" t="s">
        <v>7</v>
      </c>
      <c r="B13" t="s">
        <v>16</v>
      </c>
      <c r="F13" t="s">
        <v>17</v>
      </c>
    </row>
    <row r="14" spans="1:11" x14ac:dyDescent="0.25">
      <c r="A14">
        <v>0</v>
      </c>
      <c r="B14" s="2">
        <v>3300000</v>
      </c>
      <c r="C14" s="2">
        <f>$B$14*F14</f>
        <v>1099890</v>
      </c>
      <c r="F14" s="4">
        <v>0.33329999999999999</v>
      </c>
    </row>
    <row r="15" spans="1:11" x14ac:dyDescent="0.25">
      <c r="A15">
        <v>1</v>
      </c>
      <c r="B15" s="2">
        <f>$B$14-C14</f>
        <v>2200110</v>
      </c>
      <c r="C15" s="2">
        <f t="shared" ref="C15:C17" si="0">$B$14*F15</f>
        <v>1466850</v>
      </c>
      <c r="F15" s="4">
        <v>0.44450000000000001</v>
      </c>
    </row>
    <row r="16" spans="1:11" x14ac:dyDescent="0.25">
      <c r="A16">
        <v>2</v>
      </c>
      <c r="B16" s="2">
        <f t="shared" ref="B16:B17" si="1">$B$14-C15</f>
        <v>1833150</v>
      </c>
      <c r="C16" s="2">
        <f t="shared" si="0"/>
        <v>488730.00000000006</v>
      </c>
      <c r="F16" s="4">
        <v>0.14810000000000001</v>
      </c>
    </row>
    <row r="17" spans="1:7" x14ac:dyDescent="0.25">
      <c r="A17">
        <v>3</v>
      </c>
      <c r="B17" s="2">
        <f t="shared" si="1"/>
        <v>2811270</v>
      </c>
      <c r="C17" s="2">
        <f t="shared" si="0"/>
        <v>0</v>
      </c>
    </row>
    <row r="19" spans="1:7" x14ac:dyDescent="0.25">
      <c r="C19" s="3">
        <f>SUM(C14:C16)</f>
        <v>3055470</v>
      </c>
    </row>
    <row r="20" spans="1:7" x14ac:dyDescent="0.25">
      <c r="B20" t="s">
        <v>18</v>
      </c>
      <c r="C20" s="3">
        <f>B14-C19</f>
        <v>244530</v>
      </c>
    </row>
    <row r="22" spans="1:7" x14ac:dyDescent="0.25">
      <c r="A22" s="1" t="s">
        <v>19</v>
      </c>
    </row>
    <row r="23" spans="1:7" x14ac:dyDescent="0.25">
      <c r="A23" t="s">
        <v>7</v>
      </c>
      <c r="C23" t="s">
        <v>18</v>
      </c>
      <c r="D23" t="s">
        <v>21</v>
      </c>
      <c r="E23" t="s">
        <v>20</v>
      </c>
      <c r="F23" t="s">
        <v>22</v>
      </c>
      <c r="G23" t="s">
        <v>23</v>
      </c>
    </row>
    <row r="24" spans="1:7" x14ac:dyDescent="0.25">
      <c r="A24">
        <v>0</v>
      </c>
      <c r="B24" s="2">
        <v>2500000</v>
      </c>
      <c r="C24" s="3"/>
      <c r="E24" s="5">
        <v>0.35</v>
      </c>
      <c r="G24" s="2">
        <v>390000</v>
      </c>
    </row>
    <row r="25" spans="1:7" x14ac:dyDescent="0.25">
      <c r="A25">
        <v>1</v>
      </c>
      <c r="B25" s="2">
        <f>$B$24/1</f>
        <v>2500000</v>
      </c>
    </row>
    <row r="26" spans="1:7" x14ac:dyDescent="0.25">
      <c r="A26">
        <v>2</v>
      </c>
      <c r="B26" s="2">
        <f>$B$24/2</f>
        <v>1250000</v>
      </c>
    </row>
    <row r="27" spans="1:7" x14ac:dyDescent="0.25">
      <c r="A27">
        <v>3</v>
      </c>
      <c r="B27" s="2">
        <f>$B$24/3</f>
        <v>833333.33333333337</v>
      </c>
    </row>
    <row r="28" spans="1:7" x14ac:dyDescent="0.25">
      <c r="A28">
        <v>4</v>
      </c>
      <c r="B28" s="2">
        <f>$B$24/4</f>
        <v>625000</v>
      </c>
    </row>
    <row r="29" spans="1:7" x14ac:dyDescent="0.25">
      <c r="A29">
        <v>5</v>
      </c>
      <c r="B29" s="2">
        <f>$B$24/5</f>
        <v>500000</v>
      </c>
    </row>
    <row r="30" spans="1:7" x14ac:dyDescent="0.25">
      <c r="A30">
        <v>6</v>
      </c>
      <c r="B30" s="2">
        <f>$B$24/6</f>
        <v>416666.66666666669</v>
      </c>
      <c r="C30" s="3">
        <f>B24-(B32*6)</f>
        <v>625000</v>
      </c>
      <c r="D30" s="3">
        <f>(C30-390000)*E24</f>
        <v>82250</v>
      </c>
      <c r="F30" s="6">
        <f>G24+D30</f>
        <v>472250</v>
      </c>
    </row>
    <row r="31" spans="1:7" x14ac:dyDescent="0.25">
      <c r="A31">
        <v>7</v>
      </c>
      <c r="B31" s="2">
        <f>$B$24/7</f>
        <v>357142.85714285716</v>
      </c>
    </row>
    <row r="32" spans="1:7" x14ac:dyDescent="0.25">
      <c r="A32">
        <v>8</v>
      </c>
      <c r="B32" s="2">
        <f>$B$24/8</f>
        <v>312500</v>
      </c>
    </row>
    <row r="34" spans="1:11" x14ac:dyDescent="0.25">
      <c r="A34" s="1" t="s">
        <v>24</v>
      </c>
    </row>
    <row r="36" spans="1:11" x14ac:dyDescent="0.25">
      <c r="A36" t="s">
        <v>7</v>
      </c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</row>
    <row r="37" spans="1:11" x14ac:dyDescent="0.25">
      <c r="A37" t="s">
        <v>25</v>
      </c>
      <c r="B37" s="2">
        <v>1480000</v>
      </c>
    </row>
    <row r="38" spans="1:11" x14ac:dyDescent="0.25">
      <c r="A38" t="s">
        <v>26</v>
      </c>
      <c r="B38">
        <v>9</v>
      </c>
    </row>
    <row r="39" spans="1:11" x14ac:dyDescent="0.25">
      <c r="A39" t="s">
        <v>27</v>
      </c>
      <c r="B39" s="2">
        <v>247000</v>
      </c>
    </row>
    <row r="40" spans="1:11" x14ac:dyDescent="0.25">
      <c r="A40" t="s">
        <v>28</v>
      </c>
      <c r="B40" s="2">
        <v>413000</v>
      </c>
    </row>
    <row r="41" spans="1:11" x14ac:dyDescent="0.25">
      <c r="A41" t="s">
        <v>29</v>
      </c>
      <c r="B41" s="7">
        <v>0.35</v>
      </c>
    </row>
    <row r="42" spans="1:11" x14ac:dyDescent="0.25">
      <c r="A42" t="s">
        <v>30</v>
      </c>
      <c r="B42" s="4">
        <v>0.122</v>
      </c>
    </row>
    <row r="43" spans="1:11" x14ac:dyDescent="0.25">
      <c r="A43" t="s">
        <v>31</v>
      </c>
      <c r="B43" s="2">
        <v>55500</v>
      </c>
    </row>
    <row r="44" spans="1:11" x14ac:dyDescent="0.25">
      <c r="A44" t="s">
        <v>32</v>
      </c>
      <c r="B44" s="3">
        <f>B37/B38</f>
        <v>164444.44444444444</v>
      </c>
    </row>
    <row r="45" spans="1:11" x14ac:dyDescent="0.25">
      <c r="A45" t="s">
        <v>36</v>
      </c>
      <c r="B45" s="3">
        <f>B39*B41</f>
        <v>86450</v>
      </c>
    </row>
    <row r="46" spans="1:11" x14ac:dyDescent="0.25">
      <c r="A46" t="s">
        <v>37</v>
      </c>
      <c r="B46" s="3">
        <f>B39-B45+B43</f>
        <v>216050</v>
      </c>
    </row>
    <row r="47" spans="1:11" x14ac:dyDescent="0.25">
      <c r="A47" t="s">
        <v>38</v>
      </c>
      <c r="B47" s="3">
        <f>B46/(1+B42)^K36</f>
        <v>76668.781025892589</v>
      </c>
    </row>
    <row r="48" spans="1:11" x14ac:dyDescent="0.25">
      <c r="A48" t="s">
        <v>39</v>
      </c>
      <c r="B48" s="3">
        <f>-(B37+B43)+SUM(C52:K52)+B47</f>
        <v>265081.04047040781</v>
      </c>
    </row>
    <row r="49" spans="1:11" x14ac:dyDescent="0.25">
      <c r="B49" s="3"/>
    </row>
    <row r="50" spans="1:11" x14ac:dyDescent="0.25">
      <c r="A50" t="s">
        <v>33</v>
      </c>
      <c r="B50" s="3">
        <f>(B40-B44)*(1-B41)+B44</f>
        <v>326005.55555555556</v>
      </c>
    </row>
    <row r="51" spans="1:11" x14ac:dyDescent="0.25">
      <c r="A51" t="s">
        <v>34</v>
      </c>
      <c r="C51">
        <f>1/(1+$B$42)^C36</f>
        <v>0.89126559714795017</v>
      </c>
      <c r="D51">
        <f>1/(1+$B$42)^D36</f>
        <v>0.79435436465949227</v>
      </c>
      <c r="E51">
        <f>1/(1+$B$42)^E36</f>
        <v>0.70798071716532296</v>
      </c>
      <c r="F51">
        <f>1/(1+$B$42)^F36</f>
        <v>0.63099885665358557</v>
      </c>
      <c r="G51">
        <f>1/(1+$B$42)^G36</f>
        <v>0.56238757277503182</v>
      </c>
      <c r="H51">
        <f>1/(1+$B$42)^H36</f>
        <v>0.50123669587792508</v>
      </c>
      <c r="I51">
        <f>1/(1+$B$42)^I36</f>
        <v>0.44673502306410434</v>
      </c>
      <c r="J51">
        <f>1/(1+$B$42)^J36</f>
        <v>0.39815955709813228</v>
      </c>
      <c r="K51">
        <f>1/(1+$B$42)^K36</f>
        <v>0.35486591541723023</v>
      </c>
    </row>
    <row r="52" spans="1:11" x14ac:dyDescent="0.25">
      <c r="A52" t="s">
        <v>35</v>
      </c>
      <c r="C52" s="3">
        <f>$B$50*C51</f>
        <v>290557.53614577145</v>
      </c>
      <c r="D52" s="3">
        <f t="shared" ref="D52:K52" si="2">$B$50*D51</f>
        <v>258963.93595879816</v>
      </c>
      <c r="E52" s="3">
        <f t="shared" si="2"/>
        <v>230805.64702210177</v>
      </c>
      <c r="F52" s="3">
        <f t="shared" si="2"/>
        <v>205709.13281827254</v>
      </c>
      <c r="G52" s="3">
        <f t="shared" si="2"/>
        <v>183341.47310006467</v>
      </c>
      <c r="H52" s="3">
        <f t="shared" si="2"/>
        <v>163405.94750451401</v>
      </c>
      <c r="I52" s="3">
        <f t="shared" si="2"/>
        <v>145638.09938013725</v>
      </c>
      <c r="J52" s="3">
        <f t="shared" si="2"/>
        <v>129802.22761153056</v>
      </c>
      <c r="K52" s="3">
        <f t="shared" si="2"/>
        <v>115688.25990332493</v>
      </c>
    </row>
    <row r="55" spans="1:11" x14ac:dyDescent="0.25">
      <c r="A55" s="1" t="s">
        <v>40</v>
      </c>
    </row>
    <row r="56" spans="1:11" x14ac:dyDescent="0.25">
      <c r="A56" t="s">
        <v>7</v>
      </c>
      <c r="B56">
        <v>0</v>
      </c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</row>
    <row r="57" spans="1:11" x14ac:dyDescent="0.25">
      <c r="A57" t="s">
        <v>41</v>
      </c>
      <c r="B57" s="7">
        <v>0.05</v>
      </c>
    </row>
    <row r="58" spans="1:11" x14ac:dyDescent="0.25">
      <c r="A58" t="s">
        <v>42</v>
      </c>
      <c r="B58" s="8">
        <v>22000</v>
      </c>
    </row>
    <row r="59" spans="1:11" x14ac:dyDescent="0.25">
      <c r="A59" t="s">
        <v>43</v>
      </c>
      <c r="B59" s="8">
        <v>55000</v>
      </c>
    </row>
    <row r="60" spans="1:11" x14ac:dyDescent="0.25">
      <c r="A60" t="s">
        <v>44</v>
      </c>
      <c r="B60" s="8">
        <v>15000</v>
      </c>
    </row>
    <row r="61" spans="1:11" x14ac:dyDescent="0.25">
      <c r="A61" t="s">
        <v>45</v>
      </c>
      <c r="B61" s="7">
        <v>0.08</v>
      </c>
    </row>
    <row r="62" spans="1:11" x14ac:dyDescent="0.25">
      <c r="A62" t="s">
        <v>46</v>
      </c>
      <c r="B62" s="8">
        <v>20000</v>
      </c>
    </row>
    <row r="63" spans="1:11" x14ac:dyDescent="0.25">
      <c r="A63" t="s">
        <v>47</v>
      </c>
      <c r="B63" s="7">
        <v>0.1</v>
      </c>
    </row>
    <row r="64" spans="1:11" x14ac:dyDescent="0.25">
      <c r="A64" t="s">
        <v>48</v>
      </c>
      <c r="B64" s="8">
        <v>6500</v>
      </c>
    </row>
    <row r="65" spans="1:11" x14ac:dyDescent="0.25">
      <c r="A65" t="s">
        <v>49</v>
      </c>
      <c r="B65" s="8">
        <v>8000</v>
      </c>
    </row>
    <row r="66" spans="1:11" x14ac:dyDescent="0.25">
      <c r="A66" t="s">
        <v>50</v>
      </c>
      <c r="B66" s="8">
        <v>24000</v>
      </c>
    </row>
    <row r="67" spans="1:11" x14ac:dyDescent="0.25">
      <c r="A67" t="s">
        <v>51</v>
      </c>
      <c r="B67" s="8">
        <v>37500</v>
      </c>
    </row>
    <row r="68" spans="1:11" x14ac:dyDescent="0.25">
      <c r="A68" t="s">
        <v>52</v>
      </c>
      <c r="B68" s="9">
        <f>B59*(1-(1/(1+B57)^4))/B57</f>
        <v>195027.27772892982</v>
      </c>
    </row>
    <row r="69" spans="1:11" x14ac:dyDescent="0.25">
      <c r="A69" t="s">
        <v>53</v>
      </c>
      <c r="B69" s="2" cm="1">
        <f t="array" ref="B69">SUMPRODUCT(B60*(1+B61)^(ROW(C56:K56)-1)/(1+B57)^(ROW(C56:K56)))</f>
        <v>67266.226128597656</v>
      </c>
      <c r="C69" s="8">
        <f>$B$60*(1+$B$61)^C56</f>
        <v>16200.000000000002</v>
      </c>
      <c r="D69" s="8">
        <f t="shared" ref="D69:K69" si="3">$B$60*(1+$B$61)^D56</f>
        <v>17496</v>
      </c>
      <c r="E69" s="8">
        <f t="shared" si="3"/>
        <v>18895.680000000004</v>
      </c>
      <c r="F69" s="8">
        <f t="shared" si="3"/>
        <v>20407.334400000003</v>
      </c>
      <c r="G69" s="8">
        <f t="shared" si="3"/>
        <v>22039.921152000006</v>
      </c>
      <c r="H69" s="8">
        <f t="shared" si="3"/>
        <v>23803.114844160009</v>
      </c>
      <c r="I69" s="8">
        <f t="shared" si="3"/>
        <v>25707.36403169281</v>
      </c>
      <c r="J69" s="8">
        <f t="shared" si="3"/>
        <v>27763.953154228235</v>
      </c>
      <c r="K69" s="8">
        <f t="shared" si="3"/>
        <v>29985.069406566497</v>
      </c>
    </row>
    <row r="70" spans="1:11" x14ac:dyDescent="0.25">
      <c r="A70" t="s">
        <v>54</v>
      </c>
      <c r="B70" s="2" cm="1">
        <f t="array" ref="B70">SUMPRODUCT(B62*(1+B63)^(ROW(C56:K56)-1)/(1+B57)^(ROW(C56:K56)))</f>
        <v>246052.01810832965</v>
      </c>
    </row>
    <row r="71" spans="1:11" x14ac:dyDescent="0.25">
      <c r="A71" t="s">
        <v>55</v>
      </c>
      <c r="B71" s="9">
        <f>B64/(1+B57)^F56</f>
        <v>5347.5660861472325</v>
      </c>
    </row>
    <row r="72" spans="1:11" x14ac:dyDescent="0.25">
      <c r="A72" t="s">
        <v>56</v>
      </c>
      <c r="B72" s="9">
        <f>B65/(1+B57)^J56</f>
        <v>5414.7148962294978</v>
      </c>
    </row>
    <row r="73" spans="1:11" x14ac:dyDescent="0.25">
      <c r="A73" t="s">
        <v>57</v>
      </c>
      <c r="B73" s="9">
        <f>B66/(1+B57)^G56</f>
        <v>18804.627995243016</v>
      </c>
    </row>
    <row r="74" spans="1:11" x14ac:dyDescent="0.25">
      <c r="A74" t="s">
        <v>58</v>
      </c>
      <c r="B74" s="9">
        <f>B67/(1+B57)^K56</f>
        <v>24172.834358167398</v>
      </c>
    </row>
    <row r="75" spans="1:11" x14ac:dyDescent="0.25">
      <c r="A75" t="s">
        <v>59</v>
      </c>
      <c r="B75" s="9">
        <f>SUM(B57,B68:B73)-B74</f>
        <v>513739.64658530941</v>
      </c>
    </row>
    <row r="76" spans="1:11" x14ac:dyDescent="0.25">
      <c r="A76" t="s">
        <v>60</v>
      </c>
      <c r="B76" s="2">
        <f>B75*(B57/(1-(1+B57)^-K56))</f>
        <v>72278.071964820134</v>
      </c>
    </row>
    <row r="80" spans="1:11" x14ac:dyDescent="0.25">
      <c r="C80" s="9"/>
      <c r="D80" s="9"/>
      <c r="E80" s="9"/>
      <c r="F80" s="9"/>
      <c r="G80" s="9"/>
      <c r="H80" s="9"/>
      <c r="I80" s="9"/>
      <c r="J80" s="9"/>
      <c r="K8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6CA7-ACD8-4B0D-9001-714E44AB6A99}">
  <dimension ref="A1:B21"/>
  <sheetViews>
    <sheetView workbookViewId="0">
      <selection activeCell="B17" sqref="B17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7</v>
      </c>
      <c r="B1">
        <v>0</v>
      </c>
    </row>
    <row r="2" spans="1:2" x14ac:dyDescent="0.25">
      <c r="A2" t="s">
        <v>41</v>
      </c>
      <c r="B2" s="7">
        <v>0.05</v>
      </c>
    </row>
    <row r="3" spans="1:2" x14ac:dyDescent="0.25">
      <c r="A3" t="s">
        <v>42</v>
      </c>
      <c r="B3" s="8">
        <v>22000</v>
      </c>
    </row>
    <row r="4" spans="1:2" x14ac:dyDescent="0.25">
      <c r="A4" t="s">
        <v>43</v>
      </c>
      <c r="B4" s="8">
        <v>55000</v>
      </c>
    </row>
    <row r="5" spans="1:2" x14ac:dyDescent="0.25">
      <c r="A5" t="s">
        <v>44</v>
      </c>
      <c r="B5" s="8">
        <v>15000</v>
      </c>
    </row>
    <row r="6" spans="1:2" x14ac:dyDescent="0.25">
      <c r="A6" t="s">
        <v>45</v>
      </c>
      <c r="B6" s="7">
        <v>0.08</v>
      </c>
    </row>
    <row r="7" spans="1:2" x14ac:dyDescent="0.25">
      <c r="A7" t="s">
        <v>46</v>
      </c>
      <c r="B7" s="8">
        <v>20000</v>
      </c>
    </row>
    <row r="8" spans="1:2" x14ac:dyDescent="0.25">
      <c r="A8" t="s">
        <v>47</v>
      </c>
      <c r="B8" s="7">
        <v>0.1</v>
      </c>
    </row>
    <row r="9" spans="1:2" x14ac:dyDescent="0.25">
      <c r="A9" t="s">
        <v>48</v>
      </c>
      <c r="B9" s="8">
        <v>6500</v>
      </c>
    </row>
    <row r="10" spans="1:2" x14ac:dyDescent="0.25">
      <c r="A10" t="s">
        <v>49</v>
      </c>
      <c r="B10" s="8">
        <v>8000</v>
      </c>
    </row>
    <row r="11" spans="1:2" x14ac:dyDescent="0.25">
      <c r="A11" t="s">
        <v>50</v>
      </c>
      <c r="B11" s="8">
        <v>24000</v>
      </c>
    </row>
    <row r="12" spans="1:2" x14ac:dyDescent="0.25">
      <c r="A12" t="s">
        <v>51</v>
      </c>
      <c r="B12" s="8">
        <v>37500</v>
      </c>
    </row>
    <row r="13" spans="1:2" x14ac:dyDescent="0.25">
      <c r="A13" t="s">
        <v>52</v>
      </c>
      <c r="B13" s="9">
        <v>195027.27772892982</v>
      </c>
    </row>
    <row r="14" spans="1:2" x14ac:dyDescent="0.25">
      <c r="A14" t="s">
        <v>53</v>
      </c>
      <c r="B14" s="3">
        <v>67266.226128597656</v>
      </c>
    </row>
    <row r="15" spans="1:2" x14ac:dyDescent="0.25">
      <c r="A15" t="s">
        <v>54</v>
      </c>
      <c r="B15" s="3">
        <v>246052.01810832965</v>
      </c>
    </row>
    <row r="16" spans="1:2" x14ac:dyDescent="0.25">
      <c r="A16" t="s">
        <v>55</v>
      </c>
      <c r="B16" s="9">
        <v>5347.5660861472325</v>
      </c>
    </row>
    <row r="17" spans="1:2" x14ac:dyDescent="0.25">
      <c r="A17" t="s">
        <v>56</v>
      </c>
      <c r="B17" s="9">
        <v>5414.7148962294978</v>
      </c>
    </row>
    <row r="18" spans="1:2" x14ac:dyDescent="0.25">
      <c r="A18" t="s">
        <v>57</v>
      </c>
      <c r="B18" s="9">
        <v>18804.627995243016</v>
      </c>
    </row>
    <row r="19" spans="1:2" x14ac:dyDescent="0.25">
      <c r="A19" t="s">
        <v>58</v>
      </c>
      <c r="B19" s="9">
        <v>24172.834358167398</v>
      </c>
    </row>
    <row r="20" spans="1:2" x14ac:dyDescent="0.25">
      <c r="A20" t="s">
        <v>59</v>
      </c>
      <c r="B20" s="9">
        <v>513739.64658530941</v>
      </c>
    </row>
    <row r="21" spans="1:2" x14ac:dyDescent="0.25">
      <c r="A21" t="s">
        <v>60</v>
      </c>
      <c r="B21" s="3">
        <v>72278.071964820134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Edwards</dc:creator>
  <cp:lastModifiedBy>Jacob Edwards</cp:lastModifiedBy>
  <dcterms:created xsi:type="dcterms:W3CDTF">2015-06-05T18:17:20Z</dcterms:created>
  <dcterms:modified xsi:type="dcterms:W3CDTF">2025-02-14T19:05:39Z</dcterms:modified>
</cp:coreProperties>
</file>