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e15620da111e89/Documents/M.S. Courses/Finance/FIN 518 Managerial/"/>
    </mc:Choice>
  </mc:AlternateContent>
  <xr:revisionPtr revIDLastSave="395" documentId="8_{A88CF6CA-E319-4EF2-A46A-042172352643}" xr6:coauthVersionLast="47" xr6:coauthVersionMax="47" xr10:uidLastSave="{A3DBA034-A056-4595-891F-884D72639CCC}"/>
  <bookViews>
    <workbookView xWindow="285" yWindow="3360" windowWidth="18150" windowHeight="11295" xr2:uid="{90F86F03-6708-4A3E-8D31-274F94BAE7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B113" i="1"/>
  <c r="B112" i="1"/>
  <c r="B111" i="1"/>
  <c r="B110" i="1"/>
  <c r="C78" i="1"/>
  <c r="C77" i="1"/>
  <c r="B99" i="1"/>
  <c r="C100" i="1" s="1"/>
  <c r="B96" i="1"/>
  <c r="C97" i="1" s="1"/>
  <c r="C93" i="1"/>
  <c r="C94" i="1" s="1"/>
  <c r="C71" i="1"/>
  <c r="C60" i="1"/>
  <c r="C61" i="1" s="1"/>
  <c r="B64" i="1"/>
  <c r="C46" i="1"/>
  <c r="C20" i="1"/>
  <c r="C21" i="1" s="1"/>
  <c r="T2" i="1"/>
  <c r="M2" i="1"/>
  <c r="D7" i="1"/>
  <c r="D5" i="1"/>
  <c r="D2" i="1"/>
  <c r="C63" i="1" l="1"/>
  <c r="C64" i="1" s="1"/>
  <c r="B65" i="1" s="1"/>
  <c r="B72" i="1" s="1"/>
  <c r="C72" i="1" s="1"/>
  <c r="C73" i="1" s="1"/>
  <c r="C22" i="1"/>
  <c r="C24" i="1" s="1"/>
  <c r="C30" i="1" s="1"/>
  <c r="F5" i="1"/>
  <c r="C66" i="1" l="1"/>
</calcChain>
</file>

<file path=xl/sharedStrings.xml><?xml version="1.0" encoding="utf-8"?>
<sst xmlns="http://schemas.openxmlformats.org/spreadsheetml/2006/main" count="115" uniqueCount="91">
  <si>
    <t>Total Assets 2022</t>
  </si>
  <si>
    <t>Total Assets 2023</t>
  </si>
  <si>
    <t>Change</t>
  </si>
  <si>
    <t>Current Assets 22</t>
  </si>
  <si>
    <t>Current Assets 23</t>
  </si>
  <si>
    <t>Change in NWC</t>
  </si>
  <si>
    <t>NWC 22</t>
  </si>
  <si>
    <t>NWC 23</t>
  </si>
  <si>
    <t>Current Liability 23</t>
  </si>
  <si>
    <t>Current Liability 22</t>
  </si>
  <si>
    <t>Passenger Revenue 2022</t>
  </si>
  <si>
    <t>Total Operating Revenue 22</t>
  </si>
  <si>
    <t>Perc. Of Operating Rev.</t>
  </si>
  <si>
    <t>Passenger Revenue 2023</t>
  </si>
  <si>
    <t>Total Operating Revenue 23</t>
  </si>
  <si>
    <t>Questions 1&amp;2 above</t>
  </si>
  <si>
    <t>Question 3</t>
  </si>
  <si>
    <t>Sheraton Inc.</t>
  </si>
  <si>
    <t>Sales</t>
  </si>
  <si>
    <t>Depreciation (expense)</t>
  </si>
  <si>
    <t>Interest Expense</t>
  </si>
  <si>
    <t>Tax Rate</t>
  </si>
  <si>
    <t xml:space="preserve"> </t>
  </si>
  <si>
    <t>Total Expenses:</t>
  </si>
  <si>
    <t>Costs of goods sold</t>
  </si>
  <si>
    <t>Gross Profit</t>
  </si>
  <si>
    <t>Costs of sales</t>
  </si>
  <si>
    <t xml:space="preserve">  </t>
  </si>
  <si>
    <t>Income before taxes</t>
  </si>
  <si>
    <t>Net Income</t>
  </si>
  <si>
    <t>Income tax expense (23%)</t>
  </si>
  <si>
    <t>Dividends</t>
  </si>
  <si>
    <t>Retained Earnings</t>
  </si>
  <si>
    <t>Below are calculations but should not be included in Income Statement</t>
  </si>
  <si>
    <t>Question 4</t>
  </si>
  <si>
    <t>Income</t>
  </si>
  <si>
    <t>Income Taxes</t>
  </si>
  <si>
    <t>Average Tax rate</t>
  </si>
  <si>
    <t>Marginal Tax rate</t>
  </si>
  <si>
    <t>Question 5</t>
  </si>
  <si>
    <t>Income Statement</t>
  </si>
  <si>
    <t>Halifax Company</t>
  </si>
  <si>
    <t>Gross Sales</t>
  </si>
  <si>
    <t>Selling Expenses</t>
  </si>
  <si>
    <t>Depreciation</t>
  </si>
  <si>
    <t>Below are used for calculations but should not be included in Income Statement</t>
  </si>
  <si>
    <t>Notes Payable Interest</t>
  </si>
  <si>
    <t xml:space="preserve">   </t>
  </si>
  <si>
    <t>Gross profit</t>
  </si>
  <si>
    <t>Operating Income (EBIT)</t>
  </si>
  <si>
    <t>Taxes (25%)</t>
  </si>
  <si>
    <t>Operating Cash Flow</t>
  </si>
  <si>
    <t>EBIT + Depreciation</t>
  </si>
  <si>
    <t>Operating Cash Flow =</t>
  </si>
  <si>
    <t>EBIT</t>
  </si>
  <si>
    <t>"- Taxes"</t>
  </si>
  <si>
    <t>Question 6</t>
  </si>
  <si>
    <t>Shareholder's Equity = Assets - Liabilities</t>
  </si>
  <si>
    <t>Market value of Shareholder's equity can be negative, which would be insolvent</t>
  </si>
  <si>
    <t>Question 7</t>
  </si>
  <si>
    <t>Other Expenses</t>
  </si>
  <si>
    <t xml:space="preserve">Depreciation </t>
  </si>
  <si>
    <t>Taxes</t>
  </si>
  <si>
    <t>New Equity Issues</t>
  </si>
  <si>
    <t>Long-Term Debt Redeemed</t>
  </si>
  <si>
    <t>OCF (Operating Cash Flow)</t>
  </si>
  <si>
    <t>EBIT = Sales - Costs - Other Expenses - Depreciation</t>
  </si>
  <si>
    <t>OCF = EBIT + Depreciation - Taxes</t>
  </si>
  <si>
    <t>Costs</t>
  </si>
  <si>
    <t>CFC = Interest Paid - Net New Borrowing</t>
  </si>
  <si>
    <t>Net New Borrowing = Long Term Debt Issued - Long Term Debt Redeemed</t>
  </si>
  <si>
    <t>CFC (Cash Flow to Creditors)</t>
  </si>
  <si>
    <t>Net New Borrowing</t>
  </si>
  <si>
    <t>Net New Equity Raised = Equity Issued - Equity Redeemed</t>
  </si>
  <si>
    <t>CFS = Dividends paid - Net New Equity Raised</t>
  </si>
  <si>
    <t>Net New Equity Raised</t>
  </si>
  <si>
    <t>CFS (Cash Flow to Stockholders)</t>
  </si>
  <si>
    <t>Question 8</t>
  </si>
  <si>
    <t>Net Income = Addition to Retained Earnings + Dividends Paid</t>
  </si>
  <si>
    <t>EBT = Net Income/ 1-Tax Rate</t>
  </si>
  <si>
    <t>EBT = EBIT - Interest Expense</t>
  </si>
  <si>
    <t>EBIT = EBT + Interest Expense</t>
  </si>
  <si>
    <t>EBIT = Sales - Costs - Depreciation</t>
  </si>
  <si>
    <t>Depreciation = Sales - Costs - EBIT</t>
  </si>
  <si>
    <t>Assets</t>
  </si>
  <si>
    <t>Liabilities</t>
  </si>
  <si>
    <t>Shareholder Equity</t>
  </si>
  <si>
    <t>Addition to Ret. Earn</t>
  </si>
  <si>
    <t>Dividends Paid</t>
  </si>
  <si>
    <t>Taxable Income</t>
  </si>
  <si>
    <t>Depreciation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</si>
</sst>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u val="doubleAccounting"/>
      <sz val="11"/>
      <color theme="1"/>
      <name val="Aptos Narrow"/>
      <family val="2"/>
      <scheme val="minor"/>
    </font>
    <font>
      <u val="singleAccounting"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3">
    <border>
      <left/>
      <right/>
      <top/>
      <bottom/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44" fontId="0" fillId="0" borderId="0" xfId="0" applyNumberFormat="1"/>
    <xf numFmtId="44" fontId="2" fillId="0" borderId="1" xfId="0" applyNumberFormat="1" applyFont="1" applyBorder="1"/>
    <xf numFmtId="44" fontId="2" fillId="0" borderId="2" xfId="0" applyNumberFormat="1" applyFont="1" applyBorder="1"/>
    <xf numFmtId="44" fontId="2" fillId="2" borderId="1" xfId="0" applyNumberFormat="1" applyFont="1" applyFill="1" applyBorder="1"/>
    <xf numFmtId="44" fontId="2" fillId="2" borderId="2" xfId="0" applyNumberFormat="1" applyFont="1" applyFill="1" applyBorder="1"/>
    <xf numFmtId="44" fontId="3" fillId="0" borderId="0" xfId="0" applyNumberFormat="1" applyFont="1"/>
    <xf numFmtId="44" fontId="4" fillId="0" borderId="0" xfId="0" applyNumberFormat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B14FD1-6660-4265-9084-75319D54A6E5}" name="Table1" displayName="Table1" ref="A15:C37" totalsRowShown="0" headerRowDxfId="6" dataDxfId="5">
  <autoFilter ref="A15:C37" xr:uid="{55B14FD1-6660-4265-9084-75319D54A6E5}"/>
  <tableColumns count="3">
    <tableColumn id="1" xr3:uid="{B122A94E-7980-43CE-ADF0-8173A0ED9B95}" name="Sheraton Inc." dataDxfId="4"/>
    <tableColumn id="2" xr3:uid="{7A254B11-D70E-42E0-8ABF-6306FD8619C8}" name=" " dataDxfId="3"/>
    <tableColumn id="5" xr3:uid="{E7314607-D461-404F-AF8E-02538B0F3438}" name="  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41F7B6-BA4C-45B0-87F8-8D2B5B5B5C77}" name="Table2" displayName="Table2" ref="A54:C128" totalsRowShown="0">
  <autoFilter ref="A54:C128" xr:uid="{0F41F7B6-BA4C-45B0-87F8-8D2B5B5B5C77}"/>
  <tableColumns count="3">
    <tableColumn id="1" xr3:uid="{0511C0CD-F120-422F-932C-D31B467B2602}" name="Income Statement" dataDxfId="1"/>
    <tableColumn id="2" xr3:uid="{1DBA2434-8BF6-4AE3-8288-066F8C506E8A}" name="  "/>
    <tableColumn id="3" xr3:uid="{D19F5041-B382-4B6F-9A52-53BCDC0706B3}" name="  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2E00F-BD14-4F51-8465-062B54EC396A}">
  <dimension ref="A1:T128"/>
  <sheetViews>
    <sheetView tabSelected="1" topLeftCell="A34" workbookViewId="0">
      <selection activeCell="C45" sqref="C45"/>
    </sheetView>
  </sheetViews>
  <sheetFormatPr defaultColWidth="26.140625" defaultRowHeight="15" x14ac:dyDescent="0.25"/>
  <sheetData>
    <row r="1" spans="1:20" x14ac:dyDescent="0.25">
      <c r="A1" t="s">
        <v>0</v>
      </c>
      <c r="B1" t="s">
        <v>1</v>
      </c>
      <c r="D1" t="s">
        <v>2</v>
      </c>
      <c r="J1" t="s">
        <v>10</v>
      </c>
      <c r="M1" t="s">
        <v>12</v>
      </c>
      <c r="Q1" t="s">
        <v>13</v>
      </c>
      <c r="T1" t="s">
        <v>12</v>
      </c>
    </row>
    <row r="2" spans="1:20" x14ac:dyDescent="0.25">
      <c r="A2">
        <v>72288</v>
      </c>
      <c r="B2">
        <v>73644</v>
      </c>
      <c r="D2">
        <f>B2-A2</f>
        <v>1356</v>
      </c>
      <c r="J2">
        <v>40218</v>
      </c>
      <c r="M2">
        <f>(J2/J6)*100</f>
        <v>79.51049780554348</v>
      </c>
      <c r="Q2">
        <v>48909</v>
      </c>
      <c r="T2">
        <f>(Q2/Q6)*100</f>
        <v>84.256132855567813</v>
      </c>
    </row>
    <row r="4" spans="1:20" x14ac:dyDescent="0.25">
      <c r="A4" t="s">
        <v>3</v>
      </c>
      <c r="B4" t="s">
        <v>4</v>
      </c>
      <c r="D4" t="s">
        <v>6</v>
      </c>
      <c r="F4" t="s">
        <v>5</v>
      </c>
    </row>
    <row r="5" spans="1:20" x14ac:dyDescent="0.25">
      <c r="A5">
        <v>10269</v>
      </c>
      <c r="B5">
        <v>13011</v>
      </c>
      <c r="D5">
        <f>A5-A7</f>
        <v>-16149</v>
      </c>
      <c r="F5">
        <f>(D7)-(D5)</f>
        <v>3220</v>
      </c>
      <c r="J5" t="s">
        <v>11</v>
      </c>
      <c r="Q5" t="s">
        <v>14</v>
      </c>
    </row>
    <row r="6" spans="1:20" x14ac:dyDescent="0.25">
      <c r="A6" t="s">
        <v>9</v>
      </c>
      <c r="B6" t="s">
        <v>8</v>
      </c>
      <c r="D6" t="s">
        <v>7</v>
      </c>
      <c r="J6">
        <v>50582</v>
      </c>
      <c r="Q6">
        <v>58048</v>
      </c>
    </row>
    <row r="7" spans="1:20" x14ac:dyDescent="0.25">
      <c r="A7">
        <v>26418</v>
      </c>
      <c r="B7">
        <v>25940</v>
      </c>
      <c r="D7">
        <f>B5-B7</f>
        <v>-12929</v>
      </c>
    </row>
    <row r="10" spans="1:20" x14ac:dyDescent="0.25">
      <c r="A10" t="s">
        <v>15</v>
      </c>
    </row>
    <row r="13" spans="1:20" x14ac:dyDescent="0.25">
      <c r="A13" t="s">
        <v>16</v>
      </c>
    </row>
    <row r="15" spans="1:20" x14ac:dyDescent="0.25">
      <c r="A15" s="2" t="s">
        <v>17</v>
      </c>
      <c r="B15" s="2" t="s">
        <v>22</v>
      </c>
      <c r="C15" s="2" t="s">
        <v>27</v>
      </c>
    </row>
    <row r="16" spans="1:20" x14ac:dyDescent="0.25">
      <c r="A16" s="2"/>
      <c r="B16" s="2"/>
      <c r="C16" s="2"/>
    </row>
    <row r="17" spans="1:5" x14ac:dyDescent="0.25">
      <c r="A17" s="2" t="s">
        <v>18</v>
      </c>
      <c r="B17" s="2"/>
      <c r="C17" s="2">
        <v>670000</v>
      </c>
    </row>
    <row r="18" spans="1:5" x14ac:dyDescent="0.25">
      <c r="A18" s="2" t="s">
        <v>26</v>
      </c>
      <c r="B18" s="2">
        <v>332000</v>
      </c>
      <c r="C18" s="2"/>
    </row>
    <row r="19" spans="1:5" x14ac:dyDescent="0.25">
      <c r="A19" s="2" t="s">
        <v>19</v>
      </c>
      <c r="B19" s="2">
        <v>76000</v>
      </c>
      <c r="C19" s="2"/>
    </row>
    <row r="20" spans="1:5" ht="17.25" x14ac:dyDescent="0.4">
      <c r="A20" s="2" t="s">
        <v>20</v>
      </c>
      <c r="B20" s="8">
        <v>48000</v>
      </c>
      <c r="C20" s="8">
        <f>SUM(B18:B20)*-1</f>
        <v>-456000</v>
      </c>
    </row>
    <row r="21" spans="1:5" x14ac:dyDescent="0.25">
      <c r="A21" s="2" t="s">
        <v>28</v>
      </c>
      <c r="B21" s="2"/>
      <c r="C21" s="2">
        <f>C17+C20</f>
        <v>214000</v>
      </c>
    </row>
    <row r="22" spans="1:5" x14ac:dyDescent="0.25">
      <c r="A22" s="2" t="s">
        <v>30</v>
      </c>
      <c r="B22" s="2"/>
      <c r="C22" s="2">
        <f>(C21*B32)*-1</f>
        <v>-49220</v>
      </c>
    </row>
    <row r="23" spans="1:5" x14ac:dyDescent="0.25">
      <c r="A23" s="2"/>
      <c r="B23" s="2"/>
      <c r="C23" s="2"/>
    </row>
    <row r="24" spans="1:5" ht="17.25" x14ac:dyDescent="0.4">
      <c r="A24" s="2" t="s">
        <v>29</v>
      </c>
      <c r="B24" s="2"/>
      <c r="C24" s="7">
        <f>C21+C22</f>
        <v>164780</v>
      </c>
    </row>
    <row r="25" spans="1:5" ht="17.25" x14ac:dyDescent="0.4">
      <c r="A25" s="2"/>
      <c r="B25" s="2"/>
      <c r="C25" s="7"/>
    </row>
    <row r="26" spans="1:5" ht="17.25" x14ac:dyDescent="0.4">
      <c r="A26" s="2"/>
      <c r="B26" s="2"/>
      <c r="C26" s="7"/>
    </row>
    <row r="27" spans="1:5" ht="17.25" x14ac:dyDescent="0.4">
      <c r="A27" s="2"/>
      <c r="B27" s="2"/>
      <c r="C27" s="7"/>
    </row>
    <row r="28" spans="1:5" ht="17.25" x14ac:dyDescent="0.4">
      <c r="A28" s="2" t="s">
        <v>33</v>
      </c>
      <c r="B28" s="2"/>
      <c r="C28" s="7"/>
    </row>
    <row r="29" spans="1:5" x14ac:dyDescent="0.25">
      <c r="A29" s="2" t="s">
        <v>31</v>
      </c>
      <c r="B29" s="2">
        <v>45000</v>
      </c>
      <c r="C29" s="2"/>
    </row>
    <row r="30" spans="1:5" x14ac:dyDescent="0.25">
      <c r="A30" s="2" t="s">
        <v>32</v>
      </c>
      <c r="B30" s="2"/>
      <c r="C30" s="2">
        <f>C24-B29</f>
        <v>119780</v>
      </c>
    </row>
    <row r="31" spans="1:5" x14ac:dyDescent="0.25">
      <c r="A31" s="2"/>
      <c r="B31" s="2"/>
      <c r="C31" s="2"/>
      <c r="E31" s="2"/>
    </row>
    <row r="32" spans="1:5" x14ac:dyDescent="0.25">
      <c r="A32" s="2" t="s">
        <v>21</v>
      </c>
      <c r="B32" s="1">
        <v>0.23</v>
      </c>
      <c r="C32" s="2"/>
      <c r="E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3" t="s">
        <v>23</v>
      </c>
      <c r="B35" s="4">
        <v>456000</v>
      </c>
      <c r="C35" s="2"/>
    </row>
    <row r="36" spans="1:3" x14ac:dyDescent="0.25">
      <c r="A36" s="5" t="s">
        <v>25</v>
      </c>
      <c r="B36" s="6">
        <v>338000</v>
      </c>
      <c r="C36" s="2"/>
    </row>
    <row r="37" spans="1:3" x14ac:dyDescent="0.25">
      <c r="A37" s="2"/>
      <c r="B37" s="2"/>
      <c r="C37" s="2"/>
    </row>
    <row r="42" spans="1:3" x14ac:dyDescent="0.25">
      <c r="A42" t="s">
        <v>34</v>
      </c>
    </row>
    <row r="43" spans="1:3" x14ac:dyDescent="0.25">
      <c r="A43" t="s">
        <v>35</v>
      </c>
      <c r="B43">
        <v>198000</v>
      </c>
    </row>
    <row r="44" spans="1:3" x14ac:dyDescent="0.25">
      <c r="A44" t="s">
        <v>21</v>
      </c>
      <c r="B44" s="1">
        <v>0.32</v>
      </c>
    </row>
    <row r="45" spans="1:3" x14ac:dyDescent="0.25">
      <c r="A45" t="s">
        <v>36</v>
      </c>
      <c r="C45">
        <f>(9950*10%+(40525-9950)*12%+(86375-40525)*22%+(164925-86375)*24%+(198000-164925)*32%)</f>
        <v>44187</v>
      </c>
    </row>
    <row r="46" spans="1:3" x14ac:dyDescent="0.25">
      <c r="A46" t="s">
        <v>37</v>
      </c>
      <c r="C46">
        <f>C45/B43 * 100</f>
        <v>22.316666666666666</v>
      </c>
    </row>
    <row r="47" spans="1:3" x14ac:dyDescent="0.25">
      <c r="A47" t="s">
        <v>38</v>
      </c>
      <c r="C47" s="1">
        <v>0.32</v>
      </c>
    </row>
    <row r="51" spans="1:3" x14ac:dyDescent="0.25">
      <c r="A51" t="s">
        <v>39</v>
      </c>
    </row>
    <row r="54" spans="1:3" x14ac:dyDescent="0.25">
      <c r="A54" t="s">
        <v>40</v>
      </c>
      <c r="B54" t="s">
        <v>27</v>
      </c>
      <c r="C54" t="s">
        <v>47</v>
      </c>
    </row>
    <row r="56" spans="1:3" x14ac:dyDescent="0.25">
      <c r="A56" s="2" t="s">
        <v>41</v>
      </c>
      <c r="B56" s="2" t="s">
        <v>22</v>
      </c>
      <c r="C56" s="2" t="s">
        <v>27</v>
      </c>
    </row>
    <row r="57" spans="1:3" x14ac:dyDescent="0.25">
      <c r="A57" s="2"/>
      <c r="B57" s="2"/>
      <c r="C57" s="2"/>
    </row>
    <row r="58" spans="1:3" x14ac:dyDescent="0.25">
      <c r="A58" s="2" t="s">
        <v>42</v>
      </c>
      <c r="B58" s="2"/>
      <c r="C58" s="2">
        <v>1110000</v>
      </c>
    </row>
    <row r="59" spans="1:3" x14ac:dyDescent="0.25">
      <c r="A59" s="2" t="s">
        <v>24</v>
      </c>
      <c r="B59" s="2">
        <v>580000</v>
      </c>
      <c r="C59" s="2"/>
    </row>
    <row r="60" spans="1:3" x14ac:dyDescent="0.25">
      <c r="A60" s="2" t="s">
        <v>48</v>
      </c>
      <c r="B60" s="2"/>
      <c r="C60" s="2">
        <f>C58-B59</f>
        <v>530000</v>
      </c>
    </row>
    <row r="61" spans="1:3" x14ac:dyDescent="0.25">
      <c r="A61" s="2" t="s">
        <v>43</v>
      </c>
      <c r="B61" s="2">
        <v>233000</v>
      </c>
      <c r="C61" s="2">
        <f>C60-Table2[[#This Row],[  ]]</f>
        <v>297000</v>
      </c>
    </row>
    <row r="62" spans="1:3" x14ac:dyDescent="0.25">
      <c r="A62" s="2" t="s">
        <v>44</v>
      </c>
      <c r="B62" s="2">
        <v>110000</v>
      </c>
    </row>
    <row r="63" spans="1:3" x14ac:dyDescent="0.25">
      <c r="A63" t="s">
        <v>49</v>
      </c>
      <c r="C63" s="2">
        <f>C60-SUM(B61:B62)</f>
        <v>187000</v>
      </c>
    </row>
    <row r="64" spans="1:3" ht="17.25" x14ac:dyDescent="0.4">
      <c r="A64" s="2" t="s">
        <v>46</v>
      </c>
      <c r="B64" s="8">
        <f>(720000*B123)</f>
        <v>28800</v>
      </c>
      <c r="C64" s="8">
        <f>C63-Table2[[#This Row],[  ]]</f>
        <v>158200</v>
      </c>
    </row>
    <row r="65" spans="1:3" x14ac:dyDescent="0.25">
      <c r="A65" s="2" t="s">
        <v>50</v>
      </c>
      <c r="B65" s="2">
        <f>C64*25%</f>
        <v>39550</v>
      </c>
      <c r="C65" s="2"/>
    </row>
    <row r="66" spans="1:3" ht="17.25" x14ac:dyDescent="0.4">
      <c r="A66" s="2" t="s">
        <v>29</v>
      </c>
      <c r="B66" s="2"/>
      <c r="C66" s="7">
        <f>C64-B65</f>
        <v>118650</v>
      </c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 t="s">
        <v>53</v>
      </c>
      <c r="B69" t="s">
        <v>52</v>
      </c>
      <c r="C69" t="s">
        <v>55</v>
      </c>
    </row>
    <row r="70" spans="1:3" x14ac:dyDescent="0.25">
      <c r="A70" s="2" t="s">
        <v>54</v>
      </c>
      <c r="B70" s="2">
        <v>187000</v>
      </c>
      <c r="C70" s="2"/>
    </row>
    <row r="71" spans="1:3" x14ac:dyDescent="0.25">
      <c r="A71" s="2" t="s">
        <v>44</v>
      </c>
      <c r="B71" s="2">
        <v>110000</v>
      </c>
      <c r="C71" s="2">
        <f>SUM(B70:B71)</f>
        <v>297000</v>
      </c>
    </row>
    <row r="72" spans="1:3" x14ac:dyDescent="0.25">
      <c r="A72" s="2" t="s">
        <v>50</v>
      </c>
      <c r="B72" s="2">
        <f>B65</f>
        <v>39550</v>
      </c>
      <c r="C72" s="2">
        <f>C71-B72</f>
        <v>257450</v>
      </c>
    </row>
    <row r="73" spans="1:3" x14ac:dyDescent="0.25">
      <c r="A73" s="2" t="s">
        <v>51</v>
      </c>
      <c r="B73" s="2"/>
      <c r="C73" s="2">
        <f>C72</f>
        <v>257450</v>
      </c>
    </row>
    <row r="74" spans="1:3" x14ac:dyDescent="0.25">
      <c r="A74" s="2"/>
      <c r="B74" s="2"/>
      <c r="C74" s="2"/>
    </row>
    <row r="75" spans="1:3" x14ac:dyDescent="0.25">
      <c r="A75" s="2" t="s">
        <v>56</v>
      </c>
      <c r="C75" s="2"/>
    </row>
    <row r="76" spans="1:3" x14ac:dyDescent="0.25">
      <c r="A76" s="2" t="s">
        <v>84</v>
      </c>
      <c r="B76" t="s">
        <v>85</v>
      </c>
      <c r="C76" s="2" t="s">
        <v>86</v>
      </c>
    </row>
    <row r="77" spans="1:3" x14ac:dyDescent="0.25">
      <c r="A77" s="2">
        <v>10500</v>
      </c>
      <c r="B77" s="9">
        <v>6900</v>
      </c>
      <c r="C77" s="2">
        <f>Table2[[#This Row],[Income Statement]]-Table2[[#This Row],[  ]]</f>
        <v>3600</v>
      </c>
    </row>
    <row r="78" spans="1:3" x14ac:dyDescent="0.25">
      <c r="A78" s="2">
        <v>6300</v>
      </c>
      <c r="B78" s="9">
        <v>6900</v>
      </c>
      <c r="C78" s="2">
        <f>Table2[[#This Row],[Income Statement]]-Table2[[#This Row],[  ]]</f>
        <v>-600</v>
      </c>
    </row>
    <row r="79" spans="1:3" x14ac:dyDescent="0.25">
      <c r="A79" s="2"/>
      <c r="C79" s="2"/>
    </row>
    <row r="80" spans="1:3" x14ac:dyDescent="0.25">
      <c r="A80" s="2" t="s">
        <v>57</v>
      </c>
      <c r="C80" s="2"/>
    </row>
    <row r="81" spans="1:5" x14ac:dyDescent="0.25">
      <c r="A81" s="2" t="s">
        <v>58</v>
      </c>
      <c r="C81" s="2"/>
    </row>
    <row r="82" spans="1:5" x14ac:dyDescent="0.25">
      <c r="A82" s="2"/>
      <c r="B82" s="2"/>
      <c r="C82" s="2"/>
    </row>
    <row r="83" spans="1:5" x14ac:dyDescent="0.25">
      <c r="A83" s="2" t="s">
        <v>59</v>
      </c>
      <c r="B83" s="2"/>
      <c r="C83" s="2"/>
    </row>
    <row r="84" spans="1:5" x14ac:dyDescent="0.25">
      <c r="A84" s="2" t="s">
        <v>18</v>
      </c>
      <c r="B84" s="2">
        <v>403000</v>
      </c>
      <c r="C84" s="2"/>
    </row>
    <row r="85" spans="1:5" x14ac:dyDescent="0.25">
      <c r="A85" s="2" t="s">
        <v>68</v>
      </c>
      <c r="B85" s="2">
        <v>305000</v>
      </c>
      <c r="C85" s="2"/>
    </row>
    <row r="86" spans="1:5" x14ac:dyDescent="0.25">
      <c r="A86" s="2" t="s">
        <v>60</v>
      </c>
      <c r="B86" s="2">
        <v>7900</v>
      </c>
      <c r="C86" s="2"/>
    </row>
    <row r="87" spans="1:5" x14ac:dyDescent="0.25">
      <c r="A87" s="2" t="s">
        <v>61</v>
      </c>
      <c r="B87" s="2">
        <v>18200</v>
      </c>
      <c r="C87" s="2"/>
    </row>
    <row r="88" spans="1:5" x14ac:dyDescent="0.25">
      <c r="A88" s="2" t="s">
        <v>20</v>
      </c>
      <c r="B88" s="2">
        <v>13800</v>
      </c>
      <c r="C88" s="2"/>
    </row>
    <row r="89" spans="1:5" x14ac:dyDescent="0.25">
      <c r="A89" s="2" t="s">
        <v>62</v>
      </c>
      <c r="B89" s="2">
        <v>20335</v>
      </c>
      <c r="C89" s="2"/>
    </row>
    <row r="90" spans="1:5" x14ac:dyDescent="0.25">
      <c r="A90" s="2" t="s">
        <v>31</v>
      </c>
      <c r="B90" s="2">
        <v>11000</v>
      </c>
      <c r="C90" s="2"/>
    </row>
    <row r="91" spans="1:5" x14ac:dyDescent="0.25">
      <c r="A91" s="2" t="s">
        <v>63</v>
      </c>
      <c r="B91" s="2">
        <v>5300</v>
      </c>
      <c r="C91" s="2"/>
    </row>
    <row r="92" spans="1:5" x14ac:dyDescent="0.25">
      <c r="A92" s="2" t="s">
        <v>64</v>
      </c>
      <c r="B92" s="2">
        <v>3800</v>
      </c>
      <c r="C92" s="2"/>
    </row>
    <row r="93" spans="1:5" x14ac:dyDescent="0.25">
      <c r="A93" s="2" t="s">
        <v>54</v>
      </c>
      <c r="B93" s="2"/>
      <c r="C93" s="2">
        <f>B84-B85-B86-B87</f>
        <v>71900</v>
      </c>
      <c r="E93" t="s">
        <v>67</v>
      </c>
    </row>
    <row r="94" spans="1:5" x14ac:dyDescent="0.25">
      <c r="A94" s="2" t="s">
        <v>65</v>
      </c>
      <c r="B94" s="2"/>
      <c r="C94" s="2">
        <f>C93+B87-B89</f>
        <v>69765</v>
      </c>
      <c r="E94" t="s">
        <v>66</v>
      </c>
    </row>
    <row r="95" spans="1:5" x14ac:dyDescent="0.25">
      <c r="A95" s="2"/>
      <c r="B95" s="2"/>
      <c r="C95" s="2"/>
      <c r="E95" t="s">
        <v>69</v>
      </c>
    </row>
    <row r="96" spans="1:5" x14ac:dyDescent="0.25">
      <c r="A96" s="2" t="s">
        <v>72</v>
      </c>
      <c r="B96" s="2">
        <f>0-B92</f>
        <v>-3800</v>
      </c>
      <c r="C96" s="2"/>
      <c r="E96" t="s">
        <v>70</v>
      </c>
    </row>
    <row r="97" spans="1:5" x14ac:dyDescent="0.25">
      <c r="A97" s="2" t="s">
        <v>71</v>
      </c>
      <c r="B97" s="2"/>
      <c r="C97" s="2">
        <f>B88-B96</f>
        <v>17600</v>
      </c>
      <c r="E97" t="s">
        <v>73</v>
      </c>
    </row>
    <row r="98" spans="1:5" x14ac:dyDescent="0.25">
      <c r="A98" s="2"/>
      <c r="B98" s="2"/>
      <c r="C98" s="2"/>
      <c r="E98" t="s">
        <v>74</v>
      </c>
    </row>
    <row r="99" spans="1:5" x14ac:dyDescent="0.25">
      <c r="A99" s="2" t="s">
        <v>75</v>
      </c>
      <c r="B99" s="2">
        <f>B91-0</f>
        <v>5300</v>
      </c>
      <c r="C99" s="2"/>
    </row>
    <row r="100" spans="1:5" x14ac:dyDescent="0.25">
      <c r="A100" s="2" t="s">
        <v>76</v>
      </c>
      <c r="C100" s="2">
        <f>B90-B99</f>
        <v>5700</v>
      </c>
    </row>
    <row r="101" spans="1:5" ht="17.25" x14ac:dyDescent="0.4">
      <c r="A101" s="2"/>
      <c r="B101" s="2"/>
      <c r="C101" s="7"/>
    </row>
    <row r="102" spans="1:5" ht="17.25" x14ac:dyDescent="0.4">
      <c r="A102" s="2" t="s">
        <v>77</v>
      </c>
      <c r="B102" s="2"/>
      <c r="C102" s="7"/>
    </row>
    <row r="103" spans="1:5" ht="17.25" x14ac:dyDescent="0.4">
      <c r="A103" s="2"/>
      <c r="B103" s="2"/>
      <c r="C103" s="7"/>
      <c r="E103" t="s">
        <v>78</v>
      </c>
    </row>
    <row r="104" spans="1:5" ht="17.25" x14ac:dyDescent="0.4">
      <c r="A104" s="2" t="s">
        <v>18</v>
      </c>
      <c r="B104" s="2">
        <v>85000</v>
      </c>
      <c r="C104" s="7"/>
      <c r="E104" t="s">
        <v>79</v>
      </c>
    </row>
    <row r="105" spans="1:5" ht="17.25" x14ac:dyDescent="0.4">
      <c r="A105" s="2" t="s">
        <v>68</v>
      </c>
      <c r="B105" s="2">
        <v>42600</v>
      </c>
      <c r="C105" s="7"/>
      <c r="E105" t="s">
        <v>80</v>
      </c>
    </row>
    <row r="106" spans="1:5" ht="17.25" x14ac:dyDescent="0.4">
      <c r="A106" s="2" t="s">
        <v>87</v>
      </c>
      <c r="B106" s="2">
        <v>12800</v>
      </c>
      <c r="C106" s="7"/>
      <c r="E106" t="s">
        <v>81</v>
      </c>
    </row>
    <row r="107" spans="1:5" ht="17.25" x14ac:dyDescent="0.4">
      <c r="A107" s="2" t="s">
        <v>88</v>
      </c>
      <c r="B107" s="2">
        <v>3220</v>
      </c>
      <c r="C107" s="7"/>
      <c r="E107" t="s">
        <v>82</v>
      </c>
    </row>
    <row r="108" spans="1:5" ht="17.25" x14ac:dyDescent="0.4">
      <c r="A108" s="2" t="s">
        <v>20</v>
      </c>
      <c r="B108" s="2">
        <v>3550</v>
      </c>
      <c r="C108" s="7"/>
      <c r="E108" t="s">
        <v>83</v>
      </c>
    </row>
    <row r="109" spans="1:5" ht="17.25" x14ac:dyDescent="0.4">
      <c r="A109" s="2" t="s">
        <v>21</v>
      </c>
      <c r="B109" s="1">
        <v>0.25</v>
      </c>
      <c r="C109" s="7"/>
    </row>
    <row r="110" spans="1:5" ht="17.25" x14ac:dyDescent="0.4">
      <c r="A110" s="2" t="s">
        <v>29</v>
      </c>
      <c r="B110" s="2">
        <f>B106+B107</f>
        <v>16020</v>
      </c>
      <c r="C110" s="7"/>
    </row>
    <row r="111" spans="1:5" ht="17.25" x14ac:dyDescent="0.4">
      <c r="A111" s="2" t="s">
        <v>89</v>
      </c>
      <c r="B111" s="2">
        <f>B110/(1-B109)</f>
        <v>21360</v>
      </c>
      <c r="C111" s="7"/>
    </row>
    <row r="112" spans="1:5" ht="17.25" x14ac:dyDescent="0.4">
      <c r="A112" s="2" t="s">
        <v>54</v>
      </c>
      <c r="B112" s="2">
        <f>B111+B108</f>
        <v>24910</v>
      </c>
      <c r="C112" s="7"/>
    </row>
    <row r="113" spans="1:3" ht="17.25" x14ac:dyDescent="0.4">
      <c r="A113" s="2" t="s">
        <v>90</v>
      </c>
      <c r="B113" s="2">
        <f>B112-(B104-B105)</f>
        <v>-17490</v>
      </c>
      <c r="C113" s="7"/>
    </row>
    <row r="114" spans="1:3" ht="17.25" x14ac:dyDescent="0.4">
      <c r="A114" s="2"/>
      <c r="B114" s="2"/>
      <c r="C114" s="7"/>
    </row>
    <row r="115" spans="1:3" ht="17.25" x14ac:dyDescent="0.4">
      <c r="A115" s="2"/>
      <c r="B115" s="2"/>
      <c r="C115" s="7"/>
    </row>
    <row r="116" spans="1:3" ht="17.25" x14ac:dyDescent="0.4">
      <c r="A116" s="2"/>
      <c r="B116" s="2"/>
      <c r="C116" s="7"/>
    </row>
    <row r="117" spans="1:3" ht="17.25" x14ac:dyDescent="0.4">
      <c r="A117" s="2"/>
      <c r="B117" s="2"/>
      <c r="C117" s="7"/>
    </row>
    <row r="118" spans="1:3" ht="17.25" x14ac:dyDescent="0.4">
      <c r="A118" s="2"/>
      <c r="B118" s="2"/>
      <c r="C118" s="7"/>
    </row>
    <row r="119" spans="1:3" ht="17.25" x14ac:dyDescent="0.4">
      <c r="A119" s="2"/>
      <c r="B119" s="2"/>
      <c r="C119" s="7"/>
    </row>
    <row r="120" spans="1:3" ht="17.25" x14ac:dyDescent="0.4">
      <c r="A120" s="2" t="s">
        <v>45</v>
      </c>
      <c r="B120" s="2"/>
      <c r="C120" s="7"/>
    </row>
    <row r="121" spans="1:3" x14ac:dyDescent="0.25">
      <c r="A121" s="2" t="s">
        <v>31</v>
      </c>
      <c r="B121" s="2"/>
      <c r="C121" s="2"/>
    </row>
    <row r="122" spans="1:3" x14ac:dyDescent="0.25">
      <c r="A122" s="2" t="s">
        <v>32</v>
      </c>
      <c r="B122" s="2"/>
      <c r="C122" s="2"/>
    </row>
    <row r="123" spans="1:3" x14ac:dyDescent="0.25">
      <c r="A123" s="2" t="s">
        <v>46</v>
      </c>
      <c r="B123" s="1">
        <v>0.04</v>
      </c>
      <c r="C123" s="2"/>
    </row>
    <row r="124" spans="1:3" x14ac:dyDescent="0.25">
      <c r="A124" s="2" t="s">
        <v>21</v>
      </c>
      <c r="B124" s="1">
        <v>0.25</v>
      </c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3" t="s">
        <v>23</v>
      </c>
      <c r="B127" s="4"/>
      <c r="C127" s="2"/>
    </row>
    <row r="128" spans="1:3" x14ac:dyDescent="0.25">
      <c r="A128" s="5" t="s">
        <v>25</v>
      </c>
      <c r="B128" s="6"/>
      <c r="C128" s="2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Edwards</dc:creator>
  <cp:lastModifiedBy>Jacob Edwards</cp:lastModifiedBy>
  <dcterms:created xsi:type="dcterms:W3CDTF">2025-01-15T21:19:45Z</dcterms:created>
  <dcterms:modified xsi:type="dcterms:W3CDTF">2025-01-29T01:08:39Z</dcterms:modified>
</cp:coreProperties>
</file>